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tabRatio="392"/>
  </bookViews>
  <sheets>
    <sheet name="Приложение № 2 (1360-1)" sheetId="1" r:id="rId1"/>
  </sheets>
  <definedNames>
    <definedName name="_xlnm.Print_Titles" localSheetId="0">'Приложение № 2 (1360-1)'!$A:$C,'Приложение № 2 (1360-1)'!$9:$9</definedName>
    <definedName name="_xlnm.Print_Area" localSheetId="0">'Приложение № 2 (1360-1)'!$A$1:$DA$318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1" l="1"/>
  <c r="CT283" i="1" l="1"/>
  <c r="AJ259" i="1"/>
  <c r="AC259" i="1"/>
  <c r="AA250" i="1"/>
  <c r="O250" i="1"/>
  <c r="CT221" i="1"/>
  <c r="BJ218" i="1"/>
  <c r="BZ193" i="1"/>
  <c r="X181" i="1"/>
  <c r="W181" i="1"/>
  <c r="Y180" i="1"/>
  <c r="X180" i="1"/>
  <c r="W180" i="1"/>
  <c r="V180" i="1"/>
  <c r="N180" i="1"/>
  <c r="L180" i="1"/>
  <c r="Z179" i="1"/>
  <c r="Y179" i="1"/>
  <c r="X179" i="1"/>
  <c r="O179" i="1"/>
  <c r="BZ177" i="1"/>
  <c r="BZ176" i="1"/>
  <c r="Y169" i="1"/>
  <c r="X169" i="1"/>
  <c r="Y161" i="1"/>
  <c r="T161" i="1"/>
  <c r="X134" i="1"/>
  <c r="AY130" i="1"/>
  <c r="Y130" i="1"/>
  <c r="X130" i="1"/>
  <c r="X126" i="1"/>
  <c r="AJ121" i="1"/>
  <c r="Y121" i="1"/>
  <c r="X121" i="1"/>
  <c r="W121" i="1"/>
  <c r="AS120" i="1"/>
  <c r="Y120" i="1"/>
  <c r="X120" i="1"/>
  <c r="W74" i="1"/>
  <c r="T74" i="1"/>
  <c r="AX66" i="1"/>
  <c r="H66" i="1"/>
  <c r="BY60" i="1"/>
  <c r="AX60" i="1"/>
  <c r="BY58" i="1"/>
  <c r="AX58" i="1"/>
  <c r="Y58" i="1"/>
  <c r="BA52" i="1"/>
  <c r="AU52" i="1"/>
  <c r="Z48" i="1"/>
  <c r="Y48" i="1"/>
  <c r="Q46" i="1"/>
  <c r="W46" i="1"/>
  <c r="AI36" i="1"/>
  <c r="W36" i="1"/>
  <c r="O27" i="1"/>
  <c r="X25" i="1"/>
  <c r="Y23" i="1"/>
  <c r="AI22" i="1"/>
  <c r="X22" i="1"/>
  <c r="W22" i="1" l="1"/>
  <c r="AI19" i="1"/>
  <c r="Y19" i="1"/>
  <c r="X19" i="1"/>
  <c r="Y255" i="1" l="1"/>
  <c r="X255" i="1"/>
  <c r="W255" i="1"/>
  <c r="BJ285" i="1"/>
  <c r="BY176" i="1"/>
  <c r="BY183" i="1"/>
  <c r="W120" i="1"/>
  <c r="AP255" i="1" l="1"/>
  <c r="AK255" i="1"/>
  <c r="AC252" i="1"/>
  <c r="O252" i="1"/>
  <c r="AC251" i="1"/>
  <c r="W251" i="1"/>
  <c r="O251" i="1"/>
  <c r="CE261" i="1"/>
  <c r="AI261" i="1"/>
  <c r="O261" i="1"/>
  <c r="N261" i="1"/>
  <c r="AY66" i="1"/>
  <c r="H21" i="1"/>
  <c r="X18" i="1"/>
  <c r="BJ292" i="1"/>
  <c r="BJ295" i="1"/>
  <c r="BJ299" i="1"/>
  <c r="CT275" i="1"/>
  <c r="CT274" i="1"/>
  <c r="CO224" i="1"/>
  <c r="AI224" i="1"/>
  <c r="W224" i="1"/>
  <c r="H224" i="1"/>
  <c r="G224" i="1"/>
  <c r="AX197" i="1"/>
  <c r="G197" i="1"/>
  <c r="AC170" i="1"/>
  <c r="Y170" i="1"/>
  <c r="X170" i="1"/>
  <c r="W170" i="1"/>
  <c r="Y167" i="1"/>
  <c r="X167" i="1"/>
  <c r="W167" i="1"/>
  <c r="AC166" i="1"/>
  <c r="Y166" i="1"/>
  <c r="X166" i="1"/>
  <c r="W166" i="1"/>
  <c r="BA164" i="1"/>
  <c r="AW164" i="1"/>
  <c r="AC164" i="1"/>
  <c r="Y164" i="1"/>
  <c r="X164" i="1"/>
  <c r="W164" i="1"/>
  <c r="X149" i="1"/>
  <c r="Y132" i="1"/>
  <c r="X132" i="1"/>
  <c r="W132" i="1"/>
  <c r="BR129" i="1"/>
  <c r="L129" i="1"/>
  <c r="BR125" i="1"/>
  <c r="Y125" i="1"/>
  <c r="X125" i="1"/>
  <c r="W125" i="1"/>
  <c r="X122" i="1"/>
  <c r="W122" i="1"/>
  <c r="X105" i="1"/>
  <c r="W105" i="1"/>
  <c r="T105" i="1"/>
  <c r="Y81" i="1"/>
  <c r="X81" i="1"/>
  <c r="CE65" i="1"/>
  <c r="X65" i="1"/>
  <c r="W65" i="1"/>
  <c r="O65" i="1"/>
  <c r="N65" i="1"/>
  <c r="CE63" i="1"/>
  <c r="Y63" i="1"/>
  <c r="X63" i="1"/>
  <c r="W63" i="1"/>
  <c r="X58" i="1"/>
  <c r="N58" i="1"/>
  <c r="AC50" i="1"/>
  <c r="Y50" i="1"/>
  <c r="X50" i="1"/>
  <c r="Y46" i="1"/>
  <c r="V46" i="1"/>
  <c r="Y37" i="1"/>
  <c r="X37" i="1"/>
  <c r="CI24" i="1"/>
  <c r="CE24" i="1"/>
  <c r="BA24" i="1"/>
  <c r="AI24" i="1"/>
  <c r="Y24" i="1"/>
  <c r="X24" i="1"/>
  <c r="T24" i="1"/>
  <c r="Y21" i="1"/>
  <c r="X21" i="1"/>
  <c r="W21" i="1"/>
  <c r="W15" i="1"/>
  <c r="V15" i="1"/>
  <c r="BA12" i="1"/>
  <c r="X12" i="1"/>
  <c r="W12" i="1"/>
  <c r="BZ313" i="1"/>
  <c r="CH309" i="1"/>
  <c r="DA288" i="1"/>
  <c r="CT270" i="1"/>
  <c r="CT268" i="1"/>
  <c r="CY268" i="1" l="1"/>
  <c r="CL268" i="1"/>
  <c r="CF268" i="1"/>
  <c r="CC268" i="1"/>
  <c r="BO268" i="1"/>
  <c r="BL268" i="1"/>
  <c r="BG268" i="1"/>
  <c r="BC268" i="1"/>
  <c r="AE268" i="1"/>
  <c r="U268" i="1"/>
  <c r="P268" i="1"/>
  <c r="I268" i="1"/>
  <c r="CE260" i="1"/>
  <c r="CE256" i="1"/>
  <c r="CE255" i="1"/>
  <c r="CE249" i="1"/>
  <c r="CE246" i="1"/>
  <c r="CE245" i="1"/>
  <c r="CE244" i="1"/>
  <c r="CE238" i="1"/>
  <c r="CE229" i="1"/>
  <c r="CE226" i="1"/>
  <c r="CS214" i="1"/>
  <c r="CN164" i="1"/>
  <c r="CE155" i="1"/>
  <c r="CE149" i="1"/>
  <c r="CE130" i="1"/>
  <c r="BZ129" i="1"/>
  <c r="BZ122" i="1"/>
  <c r="BZ121" i="1"/>
  <c r="BZ120" i="1"/>
  <c r="CH105" i="1"/>
  <c r="CO76" i="1"/>
  <c r="CO72" i="1"/>
  <c r="CE66" i="1"/>
  <c r="BZ66" i="1"/>
  <c r="CE60" i="1"/>
  <c r="CE27" i="1"/>
  <c r="CO15" i="1"/>
  <c r="BD317" i="1"/>
  <c r="BJ297" i="1"/>
  <c r="BJ296" i="1"/>
  <c r="BJ294" i="1"/>
  <c r="BQ189" i="1"/>
  <c r="BT187" i="1"/>
  <c r="BS185" i="1"/>
  <c r="BY177" i="1"/>
  <c r="BP177" i="1"/>
  <c r="BP176" i="1"/>
  <c r="BY129" i="1"/>
  <c r="BR126" i="1"/>
  <c r="BY125" i="1"/>
  <c r="BM76" i="1"/>
  <c r="BY74" i="1"/>
  <c r="BY68" i="1"/>
  <c r="BM68" i="1"/>
  <c r="BR63" i="1"/>
  <c r="BY36" i="1"/>
  <c r="BY27" i="1"/>
  <c r="BY22" i="1"/>
  <c r="BA317" i="1"/>
  <c r="BA315" i="1"/>
  <c r="BA311" i="1"/>
  <c r="CB268" i="1" l="1"/>
  <c r="BB268" i="1"/>
  <c r="CX268" i="1"/>
  <c r="F268" i="1"/>
  <c r="BA309" i="1"/>
  <c r="BA260" i="1"/>
  <c r="AN260" i="1"/>
  <c r="BA256" i="1"/>
  <c r="BA255" i="1"/>
  <c r="AN255" i="1"/>
  <c r="BA246" i="1"/>
  <c r="AT246" i="1"/>
  <c r="BA245" i="1"/>
  <c r="BA244" i="1"/>
  <c r="AS244" i="1"/>
  <c r="AN244" i="1"/>
  <c r="BA239" i="1"/>
  <c r="E268" i="1" l="1"/>
  <c r="CA268" i="1"/>
  <c r="BA230" i="1"/>
  <c r="CY230" i="1"/>
  <c r="CV230" i="1"/>
  <c r="CL230" i="1"/>
  <c r="CF230" i="1"/>
  <c r="CC230" i="1"/>
  <c r="BO230" i="1"/>
  <c r="BL230" i="1"/>
  <c r="BG230" i="1"/>
  <c r="BC230" i="1"/>
  <c r="AE230" i="1"/>
  <c r="U230" i="1"/>
  <c r="P230" i="1"/>
  <c r="O230" i="1"/>
  <c r="BA193" i="1"/>
  <c r="BA181" i="1"/>
  <c r="AP181" i="1"/>
  <c r="AS180" i="1"/>
  <c r="I230" i="1" l="1"/>
  <c r="F230" i="1" s="1"/>
  <c r="D268" i="1"/>
  <c r="CU230" i="1"/>
  <c r="CB230" i="1"/>
  <c r="CX230" i="1"/>
  <c r="E230" i="1" l="1"/>
  <c r="CA230" i="1"/>
  <c r="BA156" i="1"/>
  <c r="AS149" i="1"/>
  <c r="AY141" i="1"/>
  <c r="AS126" i="1"/>
  <c r="AS121" i="1"/>
  <c r="AZ76" i="1"/>
  <c r="D230" i="1" l="1"/>
  <c r="AY76" i="1"/>
  <c r="AO74" i="1"/>
  <c r="BA72" i="1"/>
  <c r="BA68" i="1"/>
  <c r="AY63" i="1"/>
  <c r="AX63" i="1"/>
  <c r="AS58" i="1"/>
  <c r="AP58" i="1"/>
  <c r="AY48" i="1"/>
  <c r="AO46" i="1"/>
  <c r="AY41" i="1"/>
  <c r="AS41" i="1"/>
  <c r="AO36" i="1"/>
  <c r="BA25" i="1"/>
  <c r="AY23" i="1"/>
  <c r="AS23" i="1"/>
  <c r="AO22" i="1"/>
  <c r="AS19" i="1"/>
  <c r="BA15" i="1"/>
  <c r="AI263" i="1"/>
  <c r="AH260" i="1"/>
  <c r="AI256" i="1"/>
  <c r="AM255" i="1"/>
  <c r="AJ255" i="1"/>
  <c r="AI249" i="1" l="1"/>
  <c r="AC249" i="1"/>
  <c r="AI246" i="1"/>
  <c r="AM245" i="1"/>
  <c r="AI245" i="1"/>
  <c r="AH245" i="1"/>
  <c r="AK244" i="1"/>
  <c r="AI244" i="1"/>
  <c r="AH244" i="1"/>
  <c r="AC244" i="1"/>
  <c r="AC179" i="1"/>
  <c r="AD149" i="1"/>
  <c r="AD316" i="1"/>
  <c r="AD314" i="1"/>
  <c r="AD312" i="1"/>
  <c r="AD310" i="1"/>
  <c r="AD308" i="1"/>
  <c r="AD305" i="1"/>
  <c r="AD303" i="1"/>
  <c r="AD290" i="1"/>
  <c r="AD287" i="1"/>
  <c r="AD284" i="1"/>
  <c r="AD282" i="1"/>
  <c r="AD265" i="1"/>
  <c r="AD240" i="1"/>
  <c r="AD222" i="1"/>
  <c r="AD220" i="1"/>
  <c r="AD216" i="1"/>
  <c r="AD213" i="1"/>
  <c r="AD210" i="1"/>
  <c r="AD198" i="1"/>
  <c r="AD190" i="1"/>
  <c r="AD188" i="1"/>
  <c r="AD186" i="1"/>
  <c r="AD184" i="1"/>
  <c r="AD182" i="1"/>
  <c r="AD178" i="1"/>
  <c r="AD173" i="1"/>
  <c r="AD171" i="1"/>
  <c r="AD168" i="1"/>
  <c r="AD165" i="1"/>
  <c r="AD163" i="1"/>
  <c r="AD160" i="1"/>
  <c r="AD157" i="1"/>
  <c r="AD154" i="1"/>
  <c r="AD144" i="1"/>
  <c r="AD140" i="1"/>
  <c r="AD135" i="1"/>
  <c r="AD133" i="1"/>
  <c r="AD131" i="1"/>
  <c r="AD127" i="1"/>
  <c r="AD123" i="1"/>
  <c r="AD119" i="1"/>
  <c r="AD116" i="1"/>
  <c r="AD112" i="1"/>
  <c r="AD110" i="1"/>
  <c r="AD107" i="1"/>
  <c r="AD104" i="1"/>
  <c r="AD102" i="1"/>
  <c r="AD100" i="1"/>
  <c r="AD97" i="1"/>
  <c r="AD94" i="1"/>
  <c r="AD83" i="1"/>
  <c r="AD80" i="1"/>
  <c r="AD77" i="1"/>
  <c r="AD75" i="1"/>
  <c r="AD73" i="1"/>
  <c r="AD71" i="1"/>
  <c r="AD69" i="1"/>
  <c r="AD67" i="1"/>
  <c r="AD64" i="1"/>
  <c r="AD62" i="1"/>
  <c r="AD59" i="1"/>
  <c r="AD57" i="1"/>
  <c r="AD54" i="1"/>
  <c r="AD51" i="1"/>
  <c r="AD49" i="1"/>
  <c r="AD47" i="1"/>
  <c r="AD45" i="1"/>
  <c r="AD43" i="1"/>
  <c r="AD40" i="1"/>
  <c r="AD38" i="1"/>
  <c r="AD33" i="1"/>
  <c r="AD31" i="1"/>
  <c r="AD17" i="1"/>
  <c r="AD13" i="1"/>
  <c r="AD11" i="1"/>
  <c r="AG89" i="1"/>
  <c r="AI72" i="1"/>
  <c r="AL70" i="1"/>
  <c r="AM68" i="1"/>
  <c r="AI68" i="1"/>
  <c r="AC68" i="1"/>
  <c r="AC63" i="1"/>
  <c r="AI60" i="1"/>
  <c r="AJ58" i="1"/>
  <c r="AC58" i="1"/>
  <c r="AK48" i="1"/>
  <c r="AM41" i="1"/>
  <c r="AM36" i="1"/>
  <c r="AI35" i="1"/>
  <c r="AM32" i="1"/>
  <c r="AL32" i="1"/>
  <c r="AC32" i="1"/>
  <c r="AI21" i="1"/>
  <c r="AC19" i="1"/>
  <c r="AM15" i="1"/>
  <c r="AH15" i="1"/>
  <c r="AI12" i="1"/>
  <c r="Y264" i="1"/>
  <c r="X264" i="1"/>
  <c r="Y263" i="1"/>
  <c r="X263" i="1"/>
  <c r="W263" i="1"/>
  <c r="Y252" i="1"/>
  <c r="Y249" i="1"/>
  <c r="X249" i="1"/>
  <c r="W249" i="1"/>
  <c r="Y246" i="1"/>
  <c r="X246" i="1"/>
  <c r="W246" i="1"/>
  <c r="Z245" i="1"/>
  <c r="W245" i="1"/>
  <c r="V245" i="1"/>
  <c r="T245" i="1"/>
  <c r="Z244" i="1"/>
  <c r="V244" i="1"/>
  <c r="T244" i="1"/>
  <c r="AB208" i="1"/>
  <c r="Y149" i="1"/>
  <c r="W149" i="1"/>
  <c r="X141" i="1"/>
  <c r="T134" i="1"/>
  <c r="Z129" i="1"/>
  <c r="T129" i="1"/>
  <c r="Y126" i="1"/>
  <c r="W126" i="1"/>
  <c r="X78" i="1"/>
  <c r="X76" i="1"/>
  <c r="T76" i="1"/>
  <c r="Y70" i="1"/>
  <c r="T72" i="1"/>
  <c r="Y68" i="1"/>
  <c r="W68" i="1"/>
  <c r="T58" i="1"/>
  <c r="T55" i="1"/>
  <c r="W48" i="1"/>
  <c r="X46" i="1"/>
  <c r="X41" i="1"/>
  <c r="R41" i="1"/>
  <c r="X35" i="1"/>
  <c r="W35" i="1"/>
  <c r="Y32" i="1"/>
  <c r="X32" i="1"/>
  <c r="W32" i="1"/>
  <c r="T32" i="1"/>
  <c r="W26" i="1"/>
  <c r="Y25" i="1"/>
  <c r="W25" i="1"/>
  <c r="T23" i="1"/>
  <c r="R22" i="1"/>
  <c r="T21" i="1"/>
  <c r="R18" i="1"/>
  <c r="T15" i="1"/>
  <c r="T12" i="1"/>
  <c r="O264" i="1"/>
  <c r="O260" i="1"/>
  <c r="N260" i="1"/>
  <c r="K256" i="1"/>
  <c r="H256" i="1"/>
  <c r="G256" i="1"/>
  <c r="O249" i="1"/>
  <c r="N249" i="1"/>
  <c r="O246" i="1"/>
  <c r="N246" i="1"/>
  <c r="K246" i="1"/>
  <c r="J246" i="1"/>
  <c r="H246" i="1"/>
  <c r="G246" i="1"/>
  <c r="O245" i="1"/>
  <c r="N245" i="1"/>
  <c r="J245" i="1"/>
  <c r="H245" i="1"/>
  <c r="G245" i="1"/>
  <c r="O244" i="1"/>
  <c r="N244" i="1"/>
  <c r="L244" i="1"/>
  <c r="K244" i="1"/>
  <c r="J244" i="1"/>
  <c r="H244" i="1"/>
  <c r="G244" i="1"/>
  <c r="O193" i="1"/>
  <c r="N181" i="1"/>
  <c r="K180" i="1"/>
  <c r="J179" i="1"/>
  <c r="O164" i="1"/>
  <c r="O155" i="1"/>
  <c r="O149" i="1"/>
  <c r="N149" i="1"/>
  <c r="K134" i="1"/>
  <c r="J126" i="1"/>
  <c r="H125" i="1"/>
  <c r="G125" i="1"/>
  <c r="G122" i="1"/>
  <c r="L121" i="1"/>
  <c r="K121" i="1"/>
  <c r="K120" i="1"/>
  <c r="H98" i="1"/>
  <c r="G98" i="1"/>
  <c r="H76" i="1"/>
  <c r="O72" i="1"/>
  <c r="N72" i="1"/>
  <c r="N68" i="1"/>
  <c r="L66" i="1"/>
  <c r="G66" i="1"/>
  <c r="O63" i="1"/>
  <c r="L63" i="1"/>
  <c r="H63" i="1"/>
  <c r="G63" i="1"/>
  <c r="L60" i="1"/>
  <c r="L58" i="1"/>
  <c r="O48" i="1"/>
  <c r="K48" i="1"/>
  <c r="J41" i="1"/>
  <c r="N37" i="1"/>
  <c r="K32" i="1"/>
  <c r="N21" i="1"/>
  <c r="O19" i="1"/>
  <c r="J19" i="1"/>
  <c r="N15" i="1"/>
  <c r="N12" i="1"/>
  <c r="AD96" i="1" l="1"/>
  <c r="AD147" i="1"/>
  <c r="AD215" i="1"/>
  <c r="AD286" i="1"/>
  <c r="AD209" i="1"/>
  <c r="AD212" i="1"/>
  <c r="AD225" i="1"/>
  <c r="AD93" i="1"/>
  <c r="AD99" i="1"/>
  <c r="AD53" i="1"/>
  <c r="AD56" i="1"/>
  <c r="AD42" i="1"/>
  <c r="AD153" i="1"/>
  <c r="AD289" i="1"/>
  <c r="AD175" i="1"/>
  <c r="AD118" i="1"/>
  <c r="AD162" i="1"/>
  <c r="AD10" i="1"/>
  <c r="AD106" i="1"/>
  <c r="AD61" i="1"/>
  <c r="AD139" i="1"/>
  <c r="AD79" i="1"/>
  <c r="BH300" i="1"/>
  <c r="AD219" i="1" l="1"/>
  <c r="AD318" i="1" s="1"/>
  <c r="CN309" i="1"/>
  <c r="AS70" i="1"/>
  <c r="T70" i="1"/>
  <c r="O70" i="1"/>
  <c r="N70" i="1"/>
  <c r="CO309" i="1"/>
  <c r="CI309" i="1"/>
  <c r="CE309" i="1"/>
  <c r="J164" i="1" l="1"/>
  <c r="V122" i="1" l="1"/>
  <c r="CE122" i="1"/>
  <c r="CW231" i="1" l="1"/>
  <c r="CT273" i="1" l="1"/>
  <c r="CT276" i="1"/>
  <c r="J166" i="1"/>
  <c r="AH164" i="1"/>
  <c r="BJ237" i="1" l="1"/>
  <c r="BK237" i="1"/>
  <c r="Z242" i="1"/>
  <c r="CE242" i="1" l="1"/>
  <c r="AT242" i="1"/>
  <c r="Y242" i="1"/>
  <c r="X242" i="1"/>
  <c r="W242" i="1"/>
  <c r="T242" i="1"/>
  <c r="O242" i="1"/>
  <c r="N242" i="1"/>
  <c r="L242" i="1"/>
  <c r="J242" i="1"/>
  <c r="H242" i="1"/>
  <c r="G242" i="1"/>
  <c r="AT180" i="1"/>
  <c r="T180" i="1"/>
  <c r="J180" i="1"/>
  <c r="H180" i="1"/>
  <c r="G180" i="1"/>
  <c r="CJ309" i="1" l="1"/>
  <c r="G250" i="1" l="1"/>
  <c r="H250" i="1"/>
  <c r="N250" i="1"/>
  <c r="R250" i="1"/>
  <c r="S250" i="1"/>
  <c r="T250" i="1"/>
  <c r="Y250" i="1"/>
  <c r="Z250" i="1"/>
  <c r="AF250" i="1"/>
  <c r="AH250" i="1"/>
  <c r="AI250" i="1"/>
  <c r="AK250" i="1"/>
  <c r="AM250" i="1"/>
  <c r="AN250" i="1"/>
  <c r="AY250" i="1"/>
  <c r="BA250" i="1"/>
  <c r="CE250" i="1"/>
  <c r="CN250" i="1"/>
  <c r="G81" i="1" l="1"/>
  <c r="H81" i="1"/>
  <c r="T81" i="1"/>
  <c r="W81" i="1"/>
  <c r="AY81" i="1"/>
  <c r="BA81" i="1"/>
  <c r="BR81" i="1"/>
  <c r="CE233" i="1" l="1"/>
  <c r="W16" i="1" l="1"/>
  <c r="W14" i="1"/>
  <c r="DA83" i="1" l="1"/>
  <c r="CZ83" i="1"/>
  <c r="CW83" i="1"/>
  <c r="CV83" i="1"/>
  <c r="CU83" i="1"/>
  <c r="CT83" i="1"/>
  <c r="CS83" i="1"/>
  <c r="CR83" i="1"/>
  <c r="CQ83" i="1"/>
  <c r="CP83" i="1"/>
  <c r="CO83" i="1"/>
  <c r="CN83" i="1"/>
  <c r="CM83" i="1"/>
  <c r="CK83" i="1"/>
  <c r="CJ83" i="1"/>
  <c r="CI83" i="1"/>
  <c r="CH83" i="1"/>
  <c r="CG83" i="1"/>
  <c r="CE83" i="1"/>
  <c r="CD83" i="1"/>
  <c r="BZ83" i="1"/>
  <c r="BY83" i="1"/>
  <c r="BX83" i="1"/>
  <c r="BW83" i="1"/>
  <c r="BV83" i="1"/>
  <c r="BU83" i="1"/>
  <c r="BT83" i="1"/>
  <c r="BS83" i="1"/>
  <c r="BR83" i="1"/>
  <c r="BQ83" i="1"/>
  <c r="BP83" i="1"/>
  <c r="BN83" i="1"/>
  <c r="BM83" i="1"/>
  <c r="BK83" i="1"/>
  <c r="BJ83" i="1"/>
  <c r="BI83" i="1"/>
  <c r="BH83" i="1"/>
  <c r="BF83" i="1"/>
  <c r="BE83" i="1"/>
  <c r="BD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C83" i="1"/>
  <c r="AB83" i="1"/>
  <c r="AA83" i="1"/>
  <c r="Z83" i="1"/>
  <c r="Y83" i="1"/>
  <c r="X83" i="1"/>
  <c r="W83" i="1"/>
  <c r="V83" i="1"/>
  <c r="T83" i="1"/>
  <c r="S83" i="1"/>
  <c r="R83" i="1"/>
  <c r="Q83" i="1"/>
  <c r="O83" i="1"/>
  <c r="N83" i="1"/>
  <c r="M83" i="1"/>
  <c r="L83" i="1"/>
  <c r="K83" i="1"/>
  <c r="J83" i="1"/>
  <c r="H83" i="1"/>
  <c r="G83" i="1"/>
  <c r="CU265" i="1"/>
  <c r="CV265" i="1"/>
  <c r="CW265" i="1"/>
  <c r="CU282" i="1"/>
  <c r="CV282" i="1"/>
  <c r="CW282" i="1"/>
  <c r="CU308" i="1"/>
  <c r="CV308" i="1"/>
  <c r="CW308" i="1"/>
  <c r="CT309" i="1"/>
  <c r="CK309" i="1"/>
  <c r="O309" i="1"/>
  <c r="BJ307" i="1"/>
  <c r="CJ307" i="1"/>
  <c r="DA305" i="1"/>
  <c r="CZ305" i="1"/>
  <c r="CW305" i="1"/>
  <c r="CV305" i="1"/>
  <c r="CU305" i="1"/>
  <c r="CT305" i="1"/>
  <c r="CS305" i="1"/>
  <c r="CR305" i="1"/>
  <c r="CQ305" i="1"/>
  <c r="CP305" i="1"/>
  <c r="CO305" i="1"/>
  <c r="CN305" i="1"/>
  <c r="CM305" i="1"/>
  <c r="CK305" i="1"/>
  <c r="CI305" i="1"/>
  <c r="CH305" i="1"/>
  <c r="CG305" i="1"/>
  <c r="CE305" i="1"/>
  <c r="CD305" i="1"/>
  <c r="BZ305" i="1"/>
  <c r="BY305" i="1"/>
  <c r="BX305" i="1"/>
  <c r="BW305" i="1"/>
  <c r="BV305" i="1"/>
  <c r="BU305" i="1"/>
  <c r="BT305" i="1"/>
  <c r="BS305" i="1"/>
  <c r="BR305" i="1"/>
  <c r="BQ305" i="1"/>
  <c r="BP305" i="1"/>
  <c r="BN305" i="1"/>
  <c r="BM305" i="1"/>
  <c r="BK305" i="1"/>
  <c r="BI305" i="1"/>
  <c r="BH305" i="1"/>
  <c r="BF305" i="1"/>
  <c r="BE305" i="1"/>
  <c r="BD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C305" i="1"/>
  <c r="AB305" i="1"/>
  <c r="AA305" i="1"/>
  <c r="Z305" i="1"/>
  <c r="Y305" i="1"/>
  <c r="X305" i="1"/>
  <c r="W305" i="1"/>
  <c r="V305" i="1"/>
  <c r="T305" i="1"/>
  <c r="S305" i="1"/>
  <c r="R305" i="1"/>
  <c r="Q305" i="1"/>
  <c r="O305" i="1"/>
  <c r="N305" i="1"/>
  <c r="M305" i="1"/>
  <c r="L305" i="1"/>
  <c r="K305" i="1"/>
  <c r="J305" i="1"/>
  <c r="H305" i="1"/>
  <c r="G305" i="1"/>
  <c r="CY307" i="1"/>
  <c r="CL307" i="1"/>
  <c r="CC307" i="1"/>
  <c r="BO307" i="1"/>
  <c r="BL307" i="1"/>
  <c r="BG307" i="1"/>
  <c r="BC307" i="1"/>
  <c r="AE307" i="1"/>
  <c r="U307" i="1"/>
  <c r="P307" i="1"/>
  <c r="I307" i="1"/>
  <c r="BI304" i="1"/>
  <c r="BJ301" i="1"/>
  <c r="BJ298" i="1"/>
  <c r="CY299" i="1"/>
  <c r="CL299" i="1"/>
  <c r="CF299" i="1"/>
  <c r="CC299" i="1"/>
  <c r="BO299" i="1"/>
  <c r="BL299" i="1"/>
  <c r="BG299" i="1"/>
  <c r="BC299" i="1"/>
  <c r="AE299" i="1"/>
  <c r="U299" i="1"/>
  <c r="P299" i="1"/>
  <c r="I299" i="1"/>
  <c r="CY298" i="1"/>
  <c r="CL298" i="1"/>
  <c r="CF298" i="1"/>
  <c r="CC298" i="1"/>
  <c r="BO298" i="1"/>
  <c r="BL298" i="1"/>
  <c r="BG298" i="1"/>
  <c r="BC298" i="1"/>
  <c r="AE298" i="1"/>
  <c r="U298" i="1"/>
  <c r="P298" i="1"/>
  <c r="I298" i="1"/>
  <c r="CY297" i="1"/>
  <c r="CL297" i="1"/>
  <c r="CF297" i="1"/>
  <c r="CC297" i="1"/>
  <c r="BO297" i="1"/>
  <c r="BL297" i="1"/>
  <c r="BG297" i="1"/>
  <c r="BC297" i="1"/>
  <c r="AE297" i="1"/>
  <c r="U297" i="1"/>
  <c r="P297" i="1"/>
  <c r="I297" i="1"/>
  <c r="CY296" i="1"/>
  <c r="CL296" i="1"/>
  <c r="CF296" i="1"/>
  <c r="CC296" i="1"/>
  <c r="BO296" i="1"/>
  <c r="BL296" i="1"/>
  <c r="BG296" i="1"/>
  <c r="BC296" i="1"/>
  <c r="AE296" i="1"/>
  <c r="U296" i="1"/>
  <c r="P296" i="1"/>
  <c r="I296" i="1"/>
  <c r="BJ293" i="1"/>
  <c r="CY294" i="1"/>
  <c r="CL294" i="1"/>
  <c r="CF294" i="1"/>
  <c r="CC294" i="1"/>
  <c r="BO294" i="1"/>
  <c r="BL294" i="1"/>
  <c r="BG294" i="1"/>
  <c r="BC294" i="1"/>
  <c r="AE294" i="1"/>
  <c r="U294" i="1"/>
  <c r="P294" i="1"/>
  <c r="I294" i="1"/>
  <c r="CY293" i="1"/>
  <c r="CL293" i="1"/>
  <c r="CF293" i="1"/>
  <c r="CC293" i="1"/>
  <c r="BO293" i="1"/>
  <c r="BL293" i="1"/>
  <c r="BG293" i="1"/>
  <c r="BC293" i="1"/>
  <c r="AE293" i="1"/>
  <c r="U293" i="1"/>
  <c r="P293" i="1"/>
  <c r="I293" i="1"/>
  <c r="CY292" i="1"/>
  <c r="CL292" i="1"/>
  <c r="CF292" i="1"/>
  <c r="CC292" i="1"/>
  <c r="BO292" i="1"/>
  <c r="BL292" i="1"/>
  <c r="BG292" i="1"/>
  <c r="BC292" i="1"/>
  <c r="AE292" i="1"/>
  <c r="U292" i="1"/>
  <c r="P292" i="1"/>
  <c r="I292" i="1"/>
  <c r="CT281" i="1"/>
  <c r="BA266" i="1"/>
  <c r="CT267" i="1"/>
  <c r="CF307" i="1" l="1"/>
  <c r="BJ305" i="1"/>
  <c r="CX297" i="1"/>
  <c r="CX299" i="1"/>
  <c r="CX293" i="1"/>
  <c r="CX296" i="1"/>
  <c r="CX298" i="1"/>
  <c r="CX294" i="1"/>
  <c r="CX292" i="1"/>
  <c r="CU289" i="1"/>
  <c r="CX307" i="1"/>
  <c r="F307" i="1"/>
  <c r="F296" i="1"/>
  <c r="F298" i="1"/>
  <c r="F292" i="1"/>
  <c r="F294" i="1"/>
  <c r="F297" i="1"/>
  <c r="F293" i="1"/>
  <c r="F299" i="1"/>
  <c r="CJ305" i="1"/>
  <c r="CW289" i="1"/>
  <c r="CV289" i="1"/>
  <c r="CB307" i="1"/>
  <c r="BB307" i="1"/>
  <c r="CB297" i="1"/>
  <c r="CB298" i="1"/>
  <c r="CB299" i="1"/>
  <c r="BB298" i="1"/>
  <c r="BB299" i="1"/>
  <c r="BB296" i="1"/>
  <c r="CB296" i="1"/>
  <c r="BB297" i="1"/>
  <c r="BB292" i="1"/>
  <c r="BB294" i="1"/>
  <c r="CB293" i="1"/>
  <c r="CB294" i="1"/>
  <c r="BB293" i="1"/>
  <c r="CB292" i="1"/>
  <c r="CY267" i="1"/>
  <c r="CL267" i="1"/>
  <c r="CF267" i="1"/>
  <c r="CC267" i="1"/>
  <c r="BO267" i="1"/>
  <c r="BL267" i="1"/>
  <c r="BG267" i="1"/>
  <c r="BC267" i="1"/>
  <c r="AE267" i="1"/>
  <c r="U267" i="1"/>
  <c r="P267" i="1"/>
  <c r="I267" i="1"/>
  <c r="CA298" i="1" l="1"/>
  <c r="CA299" i="1"/>
  <c r="CA297" i="1"/>
  <c r="E292" i="1"/>
  <c r="CX267" i="1"/>
  <c r="CA296" i="1"/>
  <c r="CA293" i="1"/>
  <c r="CA292" i="1"/>
  <c r="E296" i="1"/>
  <c r="CA294" i="1"/>
  <c r="F267" i="1"/>
  <c r="CA307" i="1"/>
  <c r="E307" i="1"/>
  <c r="E297" i="1"/>
  <c r="E294" i="1"/>
  <c r="E299" i="1"/>
  <c r="E298" i="1"/>
  <c r="E293" i="1"/>
  <c r="BB267" i="1"/>
  <c r="CB267" i="1"/>
  <c r="CE264" i="1"/>
  <c r="BA264" i="1"/>
  <c r="W264" i="1"/>
  <c r="T264" i="1"/>
  <c r="BA262" i="1"/>
  <c r="AI262" i="1"/>
  <c r="V262" i="1"/>
  <c r="O262" i="1"/>
  <c r="CE259" i="1"/>
  <c r="AQ259" i="1"/>
  <c r="AI259" i="1"/>
  <c r="Z259" i="1"/>
  <c r="O259" i="1"/>
  <c r="N259" i="1"/>
  <c r="BA258" i="1"/>
  <c r="O258" i="1"/>
  <c r="CO257" i="1"/>
  <c r="CM257" i="1"/>
  <c r="CE257" i="1"/>
  <c r="BA257" i="1"/>
  <c r="AI257" i="1"/>
  <c r="AH257" i="1"/>
  <c r="Z257" i="1"/>
  <c r="V257" i="1"/>
  <c r="O257" i="1"/>
  <c r="N257" i="1"/>
  <c r="R255" i="1"/>
  <c r="BA254" i="1"/>
  <c r="CE253" i="1"/>
  <c r="AI253" i="1"/>
  <c r="AH253" i="1"/>
  <c r="CE251" i="1"/>
  <c r="BA251" i="1"/>
  <c r="AI251" i="1"/>
  <c r="AH251" i="1"/>
  <c r="AA251" i="1"/>
  <c r="Z251" i="1"/>
  <c r="Y251" i="1"/>
  <c r="X251" i="1"/>
  <c r="V251" i="1"/>
  <c r="N251" i="1"/>
  <c r="J251" i="1"/>
  <c r="H251" i="1"/>
  <c r="G251" i="1"/>
  <c r="AQ240" i="1" l="1"/>
  <c r="D296" i="1"/>
  <c r="D292" i="1"/>
  <c r="D307" i="1"/>
  <c r="D293" i="1"/>
  <c r="D298" i="1"/>
  <c r="D299" i="1"/>
  <c r="CA267" i="1"/>
  <c r="D294" i="1"/>
  <c r="D297" i="1"/>
  <c r="AQ225" i="1"/>
  <c r="E267" i="1"/>
  <c r="CO249" i="1"/>
  <c r="BA249" i="1"/>
  <c r="AT249" i="1"/>
  <c r="AR249" i="1"/>
  <c r="AM249" i="1"/>
  <c r="AH249" i="1"/>
  <c r="AA249" i="1"/>
  <c r="Z249" i="1"/>
  <c r="V249" i="1"/>
  <c r="K249" i="1"/>
  <c r="H249" i="1"/>
  <c r="AN248" i="1"/>
  <c r="D267" i="1" l="1"/>
  <c r="AQ219" i="1"/>
  <c r="CE247" i="1"/>
  <c r="BA247" i="1"/>
  <c r="AT247" i="1"/>
  <c r="AN247" i="1"/>
  <c r="AK247" i="1"/>
  <c r="AI247" i="1"/>
  <c r="AH247" i="1"/>
  <c r="Z247" i="1"/>
  <c r="Y247" i="1"/>
  <c r="X247" i="1"/>
  <c r="W247" i="1"/>
  <c r="V247" i="1"/>
  <c r="T247" i="1"/>
  <c r="O247" i="1"/>
  <c r="N247" i="1"/>
  <c r="L247" i="1"/>
  <c r="H247" i="1"/>
  <c r="G247" i="1"/>
  <c r="AN246" i="1"/>
  <c r="AH246" i="1"/>
  <c r="Z246" i="1"/>
  <c r="V246" i="1"/>
  <c r="Q246" i="1"/>
  <c r="AT245" i="1"/>
  <c r="AS245" i="1"/>
  <c r="AC245" i="1"/>
  <c r="AA245" i="1"/>
  <c r="Y245" i="1"/>
  <c r="K245" i="1"/>
  <c r="Y244" i="1"/>
  <c r="W244" i="1"/>
  <c r="CE243" i="1"/>
  <c r="AI243" i="1"/>
  <c r="Z243" i="1"/>
  <c r="Y243" i="1"/>
  <c r="X243" i="1"/>
  <c r="W243" i="1"/>
  <c r="L243" i="1"/>
  <c r="AQ318" i="1" l="1"/>
  <c r="G243" i="1"/>
  <c r="BA242" i="1"/>
  <c r="V242" i="1"/>
  <c r="AO241" i="1"/>
  <c r="AN241" i="1"/>
  <c r="AH233" i="1"/>
  <c r="CW225" i="1"/>
  <c r="CV231" i="1"/>
  <c r="CY231" i="1"/>
  <c r="CL231" i="1"/>
  <c r="CF231" i="1"/>
  <c r="CC231" i="1"/>
  <c r="BO231" i="1"/>
  <c r="BL231" i="1"/>
  <c r="BG231" i="1"/>
  <c r="BC231" i="1"/>
  <c r="AE231" i="1"/>
  <c r="U231" i="1"/>
  <c r="P231" i="1"/>
  <c r="O231" i="1"/>
  <c r="CC229" i="1"/>
  <c r="CY229" i="1"/>
  <c r="CL229" i="1"/>
  <c r="CF229" i="1"/>
  <c r="BO229" i="1"/>
  <c r="BL229" i="1"/>
  <c r="BG229" i="1"/>
  <c r="BC229" i="1"/>
  <c r="AE229" i="1"/>
  <c r="U229" i="1"/>
  <c r="P229" i="1"/>
  <c r="O229" i="1"/>
  <c r="CS225" i="1"/>
  <c r="CR225" i="1"/>
  <c r="CQ225" i="1"/>
  <c r="CP225" i="1"/>
  <c r="CC226" i="1"/>
  <c r="CY226" i="1"/>
  <c r="CL226" i="1"/>
  <c r="CF226" i="1"/>
  <c r="BO226" i="1"/>
  <c r="BL226" i="1"/>
  <c r="BG226" i="1"/>
  <c r="BC226" i="1"/>
  <c r="AE226" i="1"/>
  <c r="U226" i="1"/>
  <c r="P226" i="1"/>
  <c r="I226" i="1"/>
  <c r="DA222" i="1"/>
  <c r="CZ222" i="1"/>
  <c r="CT222" i="1"/>
  <c r="CS222" i="1"/>
  <c r="CR222" i="1"/>
  <c r="CQ222" i="1"/>
  <c r="CP222" i="1"/>
  <c r="CO222" i="1"/>
  <c r="CN222" i="1"/>
  <c r="CM222" i="1"/>
  <c r="CK222" i="1"/>
  <c r="CJ222" i="1"/>
  <c r="CI222" i="1"/>
  <c r="CH222" i="1"/>
  <c r="CG222" i="1"/>
  <c r="CE222" i="1"/>
  <c r="CD222" i="1"/>
  <c r="BZ222" i="1"/>
  <c r="BY222" i="1"/>
  <c r="BX222" i="1"/>
  <c r="BW222" i="1"/>
  <c r="BV222" i="1"/>
  <c r="BU222" i="1"/>
  <c r="BT222" i="1"/>
  <c r="BS222" i="1"/>
  <c r="BR222" i="1"/>
  <c r="BQ222" i="1"/>
  <c r="BP222" i="1"/>
  <c r="BN222" i="1"/>
  <c r="BM222" i="1"/>
  <c r="BK222" i="1"/>
  <c r="BJ222" i="1"/>
  <c r="BI222" i="1"/>
  <c r="BH222" i="1"/>
  <c r="BF222" i="1"/>
  <c r="BE222" i="1"/>
  <c r="BD222" i="1"/>
  <c r="AZ222" i="1"/>
  <c r="AY222" i="1"/>
  <c r="AX222" i="1"/>
  <c r="AW222" i="1"/>
  <c r="AV222" i="1"/>
  <c r="AU222" i="1"/>
  <c r="AT222" i="1"/>
  <c r="AS222" i="1"/>
  <c r="AR222" i="1"/>
  <c r="AP222" i="1"/>
  <c r="AO222" i="1"/>
  <c r="AN222" i="1"/>
  <c r="AM222" i="1"/>
  <c r="AL222" i="1"/>
  <c r="AK222" i="1"/>
  <c r="AJ222" i="1"/>
  <c r="AI222" i="1"/>
  <c r="AH222" i="1"/>
  <c r="AG222" i="1"/>
  <c r="AF222" i="1"/>
  <c r="AC222" i="1"/>
  <c r="AB222" i="1"/>
  <c r="AA222" i="1"/>
  <c r="Z222" i="1"/>
  <c r="Y222" i="1"/>
  <c r="X222" i="1"/>
  <c r="W222" i="1"/>
  <c r="V222" i="1"/>
  <c r="T222" i="1"/>
  <c r="S222" i="1"/>
  <c r="R222" i="1"/>
  <c r="Q222" i="1"/>
  <c r="O222" i="1"/>
  <c r="N222" i="1"/>
  <c r="M222" i="1"/>
  <c r="L222" i="1"/>
  <c r="K222" i="1"/>
  <c r="J222" i="1"/>
  <c r="CY223" i="1"/>
  <c r="CL223" i="1"/>
  <c r="CF223" i="1"/>
  <c r="CC223" i="1"/>
  <c r="BO223" i="1"/>
  <c r="BL223" i="1"/>
  <c r="BG223" i="1"/>
  <c r="BC223" i="1"/>
  <c r="BA223" i="1"/>
  <c r="U223" i="1"/>
  <c r="P223" i="1"/>
  <c r="I223" i="1"/>
  <c r="CR214" i="1"/>
  <c r="CS10" i="1"/>
  <c r="CR10" i="1"/>
  <c r="CY214" i="1"/>
  <c r="CL214" i="1"/>
  <c r="CF214" i="1"/>
  <c r="CC214" i="1"/>
  <c r="BO214" i="1"/>
  <c r="BL214" i="1"/>
  <c r="BG214" i="1"/>
  <c r="BC214" i="1"/>
  <c r="AE214" i="1"/>
  <c r="U214" i="1"/>
  <c r="P214" i="1"/>
  <c r="I214" i="1"/>
  <c r="DA213" i="1"/>
  <c r="CZ213" i="1"/>
  <c r="CT213" i="1"/>
  <c r="CO213" i="1"/>
  <c r="CN213" i="1"/>
  <c r="CM213" i="1"/>
  <c r="CK213" i="1"/>
  <c r="CJ213" i="1"/>
  <c r="CI213" i="1"/>
  <c r="CH213" i="1"/>
  <c r="CG213" i="1"/>
  <c r="CE213" i="1"/>
  <c r="CD213" i="1"/>
  <c r="BZ213" i="1"/>
  <c r="BY213" i="1"/>
  <c r="BX213" i="1"/>
  <c r="BW213" i="1"/>
  <c r="BV213" i="1"/>
  <c r="BU213" i="1"/>
  <c r="BT213" i="1"/>
  <c r="BS213" i="1"/>
  <c r="BR213" i="1"/>
  <c r="BQ213" i="1"/>
  <c r="BP213" i="1"/>
  <c r="BN213" i="1"/>
  <c r="BM213" i="1"/>
  <c r="BK213" i="1"/>
  <c r="BJ213" i="1"/>
  <c r="BI213" i="1"/>
  <c r="BH213" i="1"/>
  <c r="BF213" i="1"/>
  <c r="BE213" i="1"/>
  <c r="BD213" i="1"/>
  <c r="BA213" i="1"/>
  <c r="AY213" i="1"/>
  <c r="AX213" i="1"/>
  <c r="AW213" i="1"/>
  <c r="AT213" i="1"/>
  <c r="AS213" i="1"/>
  <c r="AR213" i="1"/>
  <c r="AP213" i="1"/>
  <c r="AO213" i="1"/>
  <c r="AN213" i="1"/>
  <c r="AM213" i="1"/>
  <c r="AL213" i="1"/>
  <c r="AK213" i="1"/>
  <c r="AJ213" i="1"/>
  <c r="AI213" i="1"/>
  <c r="AH213" i="1"/>
  <c r="AG213" i="1"/>
  <c r="AF213" i="1"/>
  <c r="AC213" i="1"/>
  <c r="AB213" i="1"/>
  <c r="AA213" i="1"/>
  <c r="Z213" i="1"/>
  <c r="Y213" i="1"/>
  <c r="X213" i="1"/>
  <c r="W213" i="1"/>
  <c r="V213" i="1"/>
  <c r="T213" i="1"/>
  <c r="S213" i="1"/>
  <c r="R213" i="1"/>
  <c r="Q213" i="1"/>
  <c r="O213" i="1"/>
  <c r="N213" i="1"/>
  <c r="M213" i="1"/>
  <c r="L213" i="1"/>
  <c r="K213" i="1"/>
  <c r="J213" i="1"/>
  <c r="H213" i="1"/>
  <c r="G213" i="1"/>
  <c r="H181" i="1"/>
  <c r="G181" i="1"/>
  <c r="CN179" i="1"/>
  <c r="W179" i="1"/>
  <c r="H179" i="1"/>
  <c r="G179" i="1"/>
  <c r="H174" i="1"/>
  <c r="G174" i="1"/>
  <c r="H169" i="1"/>
  <c r="G169" i="1"/>
  <c r="H167" i="1"/>
  <c r="G167" i="1"/>
  <c r="H166" i="1"/>
  <c r="G166" i="1"/>
  <c r="AI164" i="1"/>
  <c r="H164" i="1"/>
  <c r="G164" i="1"/>
  <c r="H149" i="1"/>
  <c r="G149" i="1"/>
  <c r="W148" i="1"/>
  <c r="H148" i="1"/>
  <c r="G148" i="1"/>
  <c r="BA222" i="1" l="1"/>
  <c r="I231" i="1"/>
  <c r="I229" i="1"/>
  <c r="R212" i="1"/>
  <c r="O212" i="1"/>
  <c r="Y212" i="1"/>
  <c r="AI212" i="1"/>
  <c r="AR212" i="1"/>
  <c r="BE212" i="1"/>
  <c r="BP212" i="1"/>
  <c r="BX212" i="1"/>
  <c r="CJ212" i="1"/>
  <c r="CC213" i="1"/>
  <c r="CX226" i="1"/>
  <c r="CX229" i="1"/>
  <c r="Z212" i="1"/>
  <c r="AJ212" i="1"/>
  <c r="AS212" i="1"/>
  <c r="BF212" i="1"/>
  <c r="BQ212" i="1"/>
  <c r="BY212" i="1"/>
  <c r="CK212" i="1"/>
  <c r="P213" i="1"/>
  <c r="CF213" i="1"/>
  <c r="H212" i="1"/>
  <c r="AA212" i="1"/>
  <c r="AK212" i="1"/>
  <c r="AT212" i="1"/>
  <c r="BH212" i="1"/>
  <c r="BR212" i="1"/>
  <c r="BZ212" i="1"/>
  <c r="CM212" i="1"/>
  <c r="U213" i="1"/>
  <c r="CL213" i="1"/>
  <c r="CX223" i="1"/>
  <c r="F231" i="1"/>
  <c r="E231" i="1" s="1"/>
  <c r="AB212" i="1"/>
  <c r="CD212" i="1"/>
  <c r="CN212" i="1"/>
  <c r="AE213" i="1"/>
  <c r="CX214" i="1"/>
  <c r="S212" i="1"/>
  <c r="BS212" i="1"/>
  <c r="K212" i="1"/>
  <c r="T212" i="1"/>
  <c r="AC212" i="1"/>
  <c r="AM212" i="1"/>
  <c r="AX212" i="1"/>
  <c r="BJ212" i="1"/>
  <c r="BT212" i="1"/>
  <c r="CE212" i="1"/>
  <c r="CO212" i="1"/>
  <c r="BC213" i="1"/>
  <c r="Q212" i="1"/>
  <c r="AL212" i="1"/>
  <c r="L212" i="1"/>
  <c r="AN212" i="1"/>
  <c r="AY212" i="1"/>
  <c r="BU212" i="1"/>
  <c r="CG212" i="1"/>
  <c r="BG213" i="1"/>
  <c r="CX231" i="1"/>
  <c r="J212" i="1"/>
  <c r="BI212" i="1"/>
  <c r="AF212" i="1"/>
  <c r="BK212" i="1"/>
  <c r="CT212" i="1"/>
  <c r="M212" i="1"/>
  <c r="W212" i="1"/>
  <c r="AG212" i="1"/>
  <c r="AO212" i="1"/>
  <c r="BA212" i="1"/>
  <c r="BM212" i="1"/>
  <c r="BV212" i="1"/>
  <c r="CH212" i="1"/>
  <c r="CZ212" i="1"/>
  <c r="BL213" i="1"/>
  <c r="CR213" i="1"/>
  <c r="CU231" i="1"/>
  <c r="G212" i="1"/>
  <c r="AW212" i="1"/>
  <c r="V212" i="1"/>
  <c r="N212" i="1"/>
  <c r="X212" i="1"/>
  <c r="AH212" i="1"/>
  <c r="AP212" i="1"/>
  <c r="BD212" i="1"/>
  <c r="BN212" i="1"/>
  <c r="BW212" i="1"/>
  <c r="CI212" i="1"/>
  <c r="DA212" i="1"/>
  <c r="CW219" i="1"/>
  <c r="F226" i="1"/>
  <c r="F214" i="1"/>
  <c r="F229" i="1"/>
  <c r="AE223" i="1"/>
  <c r="BB223" i="1"/>
  <c r="BB226" i="1"/>
  <c r="CB231" i="1"/>
  <c r="CB226" i="1"/>
  <c r="CV225" i="1"/>
  <c r="BB214" i="1"/>
  <c r="CB223" i="1"/>
  <c r="CB229" i="1"/>
  <c r="CS213" i="1"/>
  <c r="CB214" i="1"/>
  <c r="CY213" i="1"/>
  <c r="BO213" i="1"/>
  <c r="I213" i="1"/>
  <c r="CA229" i="1" l="1"/>
  <c r="CU225" i="1"/>
  <c r="P212" i="1"/>
  <c r="CA223" i="1"/>
  <c r="F223" i="1"/>
  <c r="E229" i="1"/>
  <c r="CR212" i="1"/>
  <c r="CL212" i="1"/>
  <c r="BO212" i="1"/>
  <c r="CV219" i="1"/>
  <c r="BB213" i="1"/>
  <c r="CA226" i="1"/>
  <c r="BL212" i="1"/>
  <c r="BG212" i="1"/>
  <c r="BC212" i="1"/>
  <c r="CX213" i="1"/>
  <c r="U212" i="1"/>
  <c r="CC212" i="1"/>
  <c r="I212" i="1"/>
  <c r="CY212" i="1"/>
  <c r="CA214" i="1"/>
  <c r="CA231" i="1"/>
  <c r="CS212" i="1"/>
  <c r="D231" i="1"/>
  <c r="CW318" i="1"/>
  <c r="AE212" i="1"/>
  <c r="CF212" i="1"/>
  <c r="E214" i="1"/>
  <c r="E226" i="1"/>
  <c r="CB213" i="1"/>
  <c r="F213" i="1"/>
  <c r="D229" i="1" l="1"/>
  <c r="E223" i="1"/>
  <c r="E213" i="1"/>
  <c r="E212" i="1"/>
  <c r="D223" i="1"/>
  <c r="CX212" i="1"/>
  <c r="CS318" i="1"/>
  <c r="BB212" i="1"/>
  <c r="CR318" i="1"/>
  <c r="F212" i="1"/>
  <c r="CV318" i="1"/>
  <c r="CU219" i="1"/>
  <c r="CB212" i="1"/>
  <c r="D226" i="1"/>
  <c r="D214" i="1"/>
  <c r="CA213" i="1"/>
  <c r="H138" i="1"/>
  <c r="G138" i="1"/>
  <c r="H137" i="1"/>
  <c r="G137" i="1"/>
  <c r="W134" i="1"/>
  <c r="H134" i="1"/>
  <c r="G134" i="1"/>
  <c r="H132" i="1"/>
  <c r="G132" i="1"/>
  <c r="W130" i="1"/>
  <c r="H130" i="1"/>
  <c r="G130" i="1"/>
  <c r="W129" i="1"/>
  <c r="H129" i="1"/>
  <c r="G129" i="1"/>
  <c r="H126" i="1"/>
  <c r="G126" i="1"/>
  <c r="H124" i="1"/>
  <c r="G124" i="1"/>
  <c r="H122" i="1"/>
  <c r="H121" i="1"/>
  <c r="G121" i="1"/>
  <c r="H120" i="1"/>
  <c r="G120" i="1"/>
  <c r="BA103" i="1"/>
  <c r="I82" i="1"/>
  <c r="P82" i="1"/>
  <c r="U82" i="1"/>
  <c r="CY91" i="1"/>
  <c r="CL91" i="1"/>
  <c r="CF91" i="1"/>
  <c r="CC91" i="1"/>
  <c r="BO91" i="1"/>
  <c r="BL91" i="1"/>
  <c r="BG91" i="1"/>
  <c r="BC91" i="1"/>
  <c r="AE91" i="1"/>
  <c r="U91" i="1"/>
  <c r="P91" i="1"/>
  <c r="I91" i="1"/>
  <c r="D213" i="1" l="1"/>
  <c r="CA212" i="1"/>
  <c r="CU318" i="1"/>
  <c r="CX91" i="1"/>
  <c r="F91" i="1"/>
  <c r="BB91" i="1"/>
  <c r="CB91" i="1"/>
  <c r="W72" i="1"/>
  <c r="W70" i="1"/>
  <c r="BZ68" i="1"/>
  <c r="G68" i="1"/>
  <c r="N63" i="1"/>
  <c r="K63" i="1"/>
  <c r="W58" i="1"/>
  <c r="W39" i="1"/>
  <c r="W37" i="1"/>
  <c r="D212" i="1" l="1"/>
  <c r="CA91" i="1"/>
  <c r="E91" i="1"/>
  <c r="BY195" i="1"/>
  <c r="BY194" i="1"/>
  <c r="BY193" i="1"/>
  <c r="BV183" i="1"/>
  <c r="D91" i="1" l="1"/>
  <c r="CQ309" i="1"/>
  <c r="CG309" i="1"/>
  <c r="AK290" i="1" l="1"/>
  <c r="G222" i="1"/>
  <c r="H222" i="1"/>
  <c r="G50" i="1"/>
  <c r="H48" i="1"/>
  <c r="G48" i="1"/>
  <c r="H27" i="1"/>
  <c r="G27" i="1"/>
  <c r="H26" i="1"/>
  <c r="G26" i="1"/>
  <c r="H19" i="1"/>
  <c r="G19" i="1"/>
  <c r="AK129" i="1" l="1"/>
  <c r="AJ129" i="1"/>
  <c r="N129" i="1"/>
  <c r="K129" i="1"/>
  <c r="J129" i="1"/>
  <c r="AK125" i="1"/>
  <c r="AJ125" i="1"/>
  <c r="N125" i="1"/>
  <c r="L125" i="1"/>
  <c r="K125" i="1"/>
  <c r="J125" i="1"/>
  <c r="V179" i="1"/>
  <c r="BA148" i="1"/>
  <c r="AT148" i="1"/>
  <c r="Y148" i="1"/>
  <c r="X148" i="1"/>
  <c r="V148" i="1"/>
  <c r="N148" i="1"/>
  <c r="CO12" i="1"/>
  <c r="BD95" i="1"/>
  <c r="CT269" i="1" l="1"/>
  <c r="Y16" i="1"/>
  <c r="Y15" i="1"/>
  <c r="CE15" i="1"/>
  <c r="H15" i="1"/>
  <c r="G15" i="1"/>
  <c r="BG302" i="1" l="1"/>
  <c r="BG317" i="1"/>
  <c r="BK316" i="1" l="1"/>
  <c r="BK314" i="1"/>
  <c r="BK312" i="1"/>
  <c r="BK310" i="1"/>
  <c r="BK308" i="1"/>
  <c r="BK303" i="1"/>
  <c r="BK290" i="1"/>
  <c r="BK287" i="1"/>
  <c r="BK284" i="1"/>
  <c r="BK282" i="1"/>
  <c r="BK265" i="1"/>
  <c r="BK240" i="1"/>
  <c r="BK220" i="1"/>
  <c r="BK216" i="1"/>
  <c r="BK210" i="1"/>
  <c r="BK198" i="1"/>
  <c r="BK190" i="1"/>
  <c r="BK188" i="1"/>
  <c r="BK186" i="1"/>
  <c r="BK184" i="1"/>
  <c r="BK182" i="1"/>
  <c r="BK178" i="1"/>
  <c r="BK173" i="1"/>
  <c r="BK171" i="1"/>
  <c r="BK168" i="1"/>
  <c r="BK165" i="1"/>
  <c r="BK163" i="1"/>
  <c r="BK160" i="1"/>
  <c r="BK157" i="1"/>
  <c r="BK154" i="1"/>
  <c r="BK147" i="1"/>
  <c r="BK144" i="1"/>
  <c r="BK140" i="1"/>
  <c r="BK135" i="1"/>
  <c r="BK133" i="1"/>
  <c r="BK131" i="1"/>
  <c r="BK127" i="1"/>
  <c r="BK123" i="1"/>
  <c r="BK119" i="1"/>
  <c r="BK116" i="1"/>
  <c r="BK112" i="1"/>
  <c r="BK110" i="1"/>
  <c r="BK107" i="1"/>
  <c r="BK104" i="1"/>
  <c r="BK102" i="1"/>
  <c r="BK100" i="1"/>
  <c r="BK97" i="1"/>
  <c r="BK94" i="1"/>
  <c r="BK80" i="1"/>
  <c r="BK77" i="1"/>
  <c r="BK75" i="1"/>
  <c r="BK73" i="1"/>
  <c r="BK71" i="1"/>
  <c r="BK69" i="1"/>
  <c r="BK67" i="1"/>
  <c r="BK64" i="1"/>
  <c r="BK62" i="1"/>
  <c r="BK59" i="1"/>
  <c r="BK57" i="1"/>
  <c r="BK54" i="1"/>
  <c r="BK51" i="1"/>
  <c r="BK49" i="1"/>
  <c r="BK47" i="1"/>
  <c r="BK45" i="1"/>
  <c r="BK43" i="1"/>
  <c r="BK40" i="1"/>
  <c r="BK38" i="1"/>
  <c r="BK33" i="1"/>
  <c r="BK31" i="1"/>
  <c r="BK17" i="1"/>
  <c r="BK13" i="1"/>
  <c r="BK11" i="1"/>
  <c r="I58" i="1"/>
  <c r="I60" i="1"/>
  <c r="BK286" i="1" l="1"/>
  <c r="BK209" i="1"/>
  <c r="BK215" i="1"/>
  <c r="BK225" i="1"/>
  <c r="BK96" i="1"/>
  <c r="BK93" i="1"/>
  <c r="BK53" i="1"/>
  <c r="BK56" i="1"/>
  <c r="BK175" i="1"/>
  <c r="BK99" i="1"/>
  <c r="BK153" i="1"/>
  <c r="BK289" i="1"/>
  <c r="BK139" i="1"/>
  <c r="BK10" i="1"/>
  <c r="BK42" i="1"/>
  <c r="BK61" i="1"/>
  <c r="BK79" i="1"/>
  <c r="BK106" i="1"/>
  <c r="BK118" i="1"/>
  <c r="BK162" i="1"/>
  <c r="BK219" i="1" l="1"/>
  <c r="BK318" i="1" s="1"/>
  <c r="CY161" i="1"/>
  <c r="CL161" i="1"/>
  <c r="CF161" i="1"/>
  <c r="CC161" i="1"/>
  <c r="BO161" i="1"/>
  <c r="BL161" i="1"/>
  <c r="BG161" i="1"/>
  <c r="BC161" i="1"/>
  <c r="AE161" i="1"/>
  <c r="U161" i="1"/>
  <c r="P161" i="1"/>
  <c r="O161" i="1"/>
  <c r="DA160" i="1"/>
  <c r="CZ160" i="1"/>
  <c r="CT160" i="1"/>
  <c r="CQ160" i="1"/>
  <c r="CP160" i="1"/>
  <c r="CO160" i="1"/>
  <c r="CN160" i="1"/>
  <c r="CM160" i="1"/>
  <c r="CK160" i="1"/>
  <c r="CJ160" i="1"/>
  <c r="CI160" i="1"/>
  <c r="CH160" i="1"/>
  <c r="CG160" i="1"/>
  <c r="CE160" i="1"/>
  <c r="CD160" i="1"/>
  <c r="BZ160" i="1"/>
  <c r="BY160" i="1"/>
  <c r="BX160" i="1"/>
  <c r="BW160" i="1"/>
  <c r="BV160" i="1"/>
  <c r="BU160" i="1"/>
  <c r="BT160" i="1"/>
  <c r="BS160" i="1"/>
  <c r="BR160" i="1"/>
  <c r="BQ160" i="1"/>
  <c r="BP160" i="1"/>
  <c r="BN160" i="1"/>
  <c r="BM160" i="1"/>
  <c r="BJ160" i="1"/>
  <c r="BI160" i="1"/>
  <c r="BH160" i="1"/>
  <c r="BF160" i="1"/>
  <c r="BE160" i="1"/>
  <c r="BD160" i="1"/>
  <c r="BA160" i="1"/>
  <c r="AZ160" i="1"/>
  <c r="AY160" i="1"/>
  <c r="AX160" i="1"/>
  <c r="AW160" i="1"/>
  <c r="AV160" i="1"/>
  <c r="AU160" i="1"/>
  <c r="AT160" i="1"/>
  <c r="AS160" i="1"/>
  <c r="AR160" i="1"/>
  <c r="AP160" i="1"/>
  <c r="AO160" i="1"/>
  <c r="AN160" i="1"/>
  <c r="AM160" i="1"/>
  <c r="AL160" i="1"/>
  <c r="AK160" i="1"/>
  <c r="AJ160" i="1"/>
  <c r="AI160" i="1"/>
  <c r="AH160" i="1"/>
  <c r="AG160" i="1"/>
  <c r="AF160" i="1"/>
  <c r="AC160" i="1"/>
  <c r="AB160" i="1"/>
  <c r="AA160" i="1"/>
  <c r="Z160" i="1"/>
  <c r="Y160" i="1"/>
  <c r="X160" i="1"/>
  <c r="W160" i="1"/>
  <c r="V160" i="1"/>
  <c r="T160" i="1"/>
  <c r="S160" i="1"/>
  <c r="R160" i="1"/>
  <c r="Q160" i="1"/>
  <c r="N160" i="1"/>
  <c r="M160" i="1"/>
  <c r="L160" i="1"/>
  <c r="K160" i="1"/>
  <c r="J160" i="1"/>
  <c r="H160" i="1"/>
  <c r="G160" i="1"/>
  <c r="H11" i="1"/>
  <c r="G11" i="1"/>
  <c r="DA290" i="1"/>
  <c r="CZ290" i="1"/>
  <c r="CT290" i="1"/>
  <c r="CQ290" i="1"/>
  <c r="CP290" i="1"/>
  <c r="CO290" i="1"/>
  <c r="CN290" i="1"/>
  <c r="CM290" i="1"/>
  <c r="CK290" i="1"/>
  <c r="CJ290" i="1"/>
  <c r="CI290" i="1"/>
  <c r="CH290" i="1"/>
  <c r="CG290" i="1"/>
  <c r="CE290" i="1"/>
  <c r="CD290" i="1"/>
  <c r="BZ290" i="1"/>
  <c r="BY290" i="1"/>
  <c r="BX290" i="1"/>
  <c r="BW290" i="1"/>
  <c r="BV290" i="1"/>
  <c r="BU290" i="1"/>
  <c r="BT290" i="1"/>
  <c r="BS290" i="1"/>
  <c r="BR290" i="1"/>
  <c r="BQ290" i="1"/>
  <c r="BP290" i="1"/>
  <c r="BN290" i="1"/>
  <c r="BM290" i="1"/>
  <c r="BJ290" i="1"/>
  <c r="BI290" i="1"/>
  <c r="BH290" i="1"/>
  <c r="BF290" i="1"/>
  <c r="BE290" i="1"/>
  <c r="BD290" i="1"/>
  <c r="BA290" i="1"/>
  <c r="AZ290" i="1"/>
  <c r="AY290" i="1"/>
  <c r="AX290" i="1"/>
  <c r="AW290" i="1"/>
  <c r="AV290" i="1"/>
  <c r="AU290" i="1"/>
  <c r="AT290" i="1"/>
  <c r="AS290" i="1"/>
  <c r="AR290" i="1"/>
  <c r="AP290" i="1"/>
  <c r="AO290" i="1"/>
  <c r="AN290" i="1"/>
  <c r="AM290" i="1"/>
  <c r="AL290" i="1"/>
  <c r="AJ290" i="1"/>
  <c r="AI290" i="1"/>
  <c r="AH290" i="1"/>
  <c r="AG290" i="1"/>
  <c r="AF290" i="1"/>
  <c r="AC290" i="1"/>
  <c r="AB290" i="1"/>
  <c r="AA290" i="1"/>
  <c r="Z290" i="1"/>
  <c r="Y290" i="1"/>
  <c r="X290" i="1"/>
  <c r="W290" i="1"/>
  <c r="V290" i="1"/>
  <c r="T290" i="1"/>
  <c r="S290" i="1"/>
  <c r="R290" i="1"/>
  <c r="Q290" i="1"/>
  <c r="O290" i="1"/>
  <c r="N290" i="1"/>
  <c r="M290" i="1"/>
  <c r="L290" i="1"/>
  <c r="K290" i="1"/>
  <c r="J290" i="1"/>
  <c r="H290" i="1"/>
  <c r="G290" i="1"/>
  <c r="CY302" i="1"/>
  <c r="CL302" i="1"/>
  <c r="CF302" i="1"/>
  <c r="CC302" i="1"/>
  <c r="BO302" i="1"/>
  <c r="BL302" i="1"/>
  <c r="BC302" i="1"/>
  <c r="AE302" i="1"/>
  <c r="U302" i="1"/>
  <c r="P302" i="1"/>
  <c r="I302" i="1"/>
  <c r="CY295" i="1"/>
  <c r="CL295" i="1"/>
  <c r="CF295" i="1"/>
  <c r="CC295" i="1"/>
  <c r="BO295" i="1"/>
  <c r="BL295" i="1"/>
  <c r="BG295" i="1"/>
  <c r="BC295" i="1"/>
  <c r="AE295" i="1"/>
  <c r="U295" i="1"/>
  <c r="P295" i="1"/>
  <c r="I295" i="1"/>
  <c r="CY114" i="1"/>
  <c r="CL114" i="1"/>
  <c r="CF114" i="1"/>
  <c r="CC114" i="1"/>
  <c r="BO114" i="1"/>
  <c r="BL114" i="1"/>
  <c r="BG114" i="1"/>
  <c r="BC114" i="1"/>
  <c r="AE114" i="1"/>
  <c r="U114" i="1"/>
  <c r="P114" i="1"/>
  <c r="I114" i="1"/>
  <c r="I161" i="1" l="1"/>
  <c r="CX295" i="1"/>
  <c r="BG160" i="1"/>
  <c r="BL160" i="1"/>
  <c r="AU153" i="1"/>
  <c r="BO160" i="1"/>
  <c r="AV153" i="1"/>
  <c r="P160" i="1"/>
  <c r="CF160" i="1"/>
  <c r="CX114" i="1"/>
  <c r="U160" i="1"/>
  <c r="CL160" i="1"/>
  <c r="CP153" i="1"/>
  <c r="AE160" i="1"/>
  <c r="CX161" i="1"/>
  <c r="AZ153" i="1"/>
  <c r="CQ153" i="1"/>
  <c r="CX302" i="1"/>
  <c r="F161" i="1"/>
  <c r="F114" i="1"/>
  <c r="F302" i="1"/>
  <c r="F295" i="1"/>
  <c r="CY160" i="1"/>
  <c r="BB161" i="1"/>
  <c r="CB161" i="1"/>
  <c r="O160" i="1"/>
  <c r="CC160" i="1"/>
  <c r="BC160" i="1"/>
  <c r="I160" i="1"/>
  <c r="BB302" i="1"/>
  <c r="BB114" i="1"/>
  <c r="CB302" i="1"/>
  <c r="CB114" i="1"/>
  <c r="CB295" i="1"/>
  <c r="BB295" i="1"/>
  <c r="CY103" i="1"/>
  <c r="CL103" i="1"/>
  <c r="CF103" i="1"/>
  <c r="CC103" i="1"/>
  <c r="BO103" i="1"/>
  <c r="BL103" i="1"/>
  <c r="BG103" i="1"/>
  <c r="BC103" i="1"/>
  <c r="AE103" i="1"/>
  <c r="U103" i="1"/>
  <c r="P103" i="1"/>
  <c r="I103" i="1"/>
  <c r="DA102" i="1"/>
  <c r="CZ102" i="1"/>
  <c r="CT102" i="1"/>
  <c r="CO102" i="1"/>
  <c r="CN102" i="1"/>
  <c r="CM102" i="1"/>
  <c r="CK102" i="1"/>
  <c r="CJ102" i="1"/>
  <c r="CI102" i="1"/>
  <c r="CH102" i="1"/>
  <c r="CG102" i="1"/>
  <c r="CE102" i="1"/>
  <c r="CD102" i="1"/>
  <c r="BZ102" i="1"/>
  <c r="BY102" i="1"/>
  <c r="BX102" i="1"/>
  <c r="BW102" i="1"/>
  <c r="BV102" i="1"/>
  <c r="BU102" i="1"/>
  <c r="BT102" i="1"/>
  <c r="BS102" i="1"/>
  <c r="BR102" i="1"/>
  <c r="BQ102" i="1"/>
  <c r="BP102" i="1"/>
  <c r="BN102" i="1"/>
  <c r="BM102" i="1"/>
  <c r="BJ102" i="1"/>
  <c r="BI102" i="1"/>
  <c r="BH102" i="1"/>
  <c r="BF102" i="1"/>
  <c r="BE102" i="1"/>
  <c r="BD102" i="1"/>
  <c r="BA102" i="1"/>
  <c r="AY102" i="1"/>
  <c r="AX102" i="1"/>
  <c r="AW102" i="1"/>
  <c r="AT102" i="1"/>
  <c r="AS102" i="1"/>
  <c r="AR102" i="1"/>
  <c r="AP102" i="1"/>
  <c r="AO102" i="1"/>
  <c r="AN102" i="1"/>
  <c r="AM102" i="1"/>
  <c r="AL102" i="1"/>
  <c r="AK102" i="1"/>
  <c r="AJ102" i="1"/>
  <c r="AI102" i="1"/>
  <c r="AH102" i="1"/>
  <c r="AG102" i="1"/>
  <c r="AF102" i="1"/>
  <c r="AC102" i="1"/>
  <c r="AB102" i="1"/>
  <c r="AA102" i="1"/>
  <c r="Z102" i="1"/>
  <c r="Y102" i="1"/>
  <c r="X102" i="1"/>
  <c r="W102" i="1"/>
  <c r="V102" i="1"/>
  <c r="T102" i="1"/>
  <c r="S102" i="1"/>
  <c r="R102" i="1"/>
  <c r="Q102" i="1"/>
  <c r="O102" i="1"/>
  <c r="N102" i="1"/>
  <c r="M102" i="1"/>
  <c r="L102" i="1"/>
  <c r="K102" i="1"/>
  <c r="J102" i="1"/>
  <c r="H102" i="1"/>
  <c r="G102" i="1"/>
  <c r="CA295" i="1" l="1"/>
  <c r="BC102" i="1"/>
  <c r="BG102" i="1"/>
  <c r="BL102" i="1"/>
  <c r="CA114" i="1"/>
  <c r="CA161" i="1"/>
  <c r="BO102" i="1"/>
  <c r="BB160" i="1"/>
  <c r="CC102" i="1"/>
  <c r="P102" i="1"/>
  <c r="CF102" i="1"/>
  <c r="U102" i="1"/>
  <c r="CL102" i="1"/>
  <c r="AE102" i="1"/>
  <c r="CX103" i="1"/>
  <c r="CX160" i="1"/>
  <c r="CA302" i="1"/>
  <c r="CB160" i="1"/>
  <c r="I102" i="1"/>
  <c r="F103" i="1"/>
  <c r="CY102" i="1"/>
  <c r="E114" i="1"/>
  <c r="E302" i="1"/>
  <c r="F160" i="1"/>
  <c r="E161" i="1"/>
  <c r="BB103" i="1"/>
  <c r="CB103" i="1"/>
  <c r="E295" i="1"/>
  <c r="D302" i="1" l="1"/>
  <c r="D295" i="1"/>
  <c r="D161" i="1"/>
  <c r="D114" i="1"/>
  <c r="CX102" i="1"/>
  <c r="BB102" i="1"/>
  <c r="F102" i="1"/>
  <c r="CB102" i="1"/>
  <c r="CA160" i="1"/>
  <c r="E103" i="1"/>
  <c r="CA103" i="1"/>
  <c r="E160" i="1"/>
  <c r="CA102" i="1" l="1"/>
  <c r="E102" i="1"/>
  <c r="D160" i="1"/>
  <c r="D103" i="1"/>
  <c r="CY84" i="1"/>
  <c r="CL84" i="1"/>
  <c r="CF84" i="1"/>
  <c r="CC84" i="1"/>
  <c r="BO84" i="1"/>
  <c r="BL84" i="1"/>
  <c r="BG84" i="1"/>
  <c r="BC84" i="1"/>
  <c r="AE84" i="1"/>
  <c r="U84" i="1"/>
  <c r="P84" i="1"/>
  <c r="I84" i="1"/>
  <c r="D102" i="1" l="1"/>
  <c r="F84" i="1"/>
  <c r="CX84" i="1"/>
  <c r="CB84" i="1"/>
  <c r="BB84" i="1"/>
  <c r="CF317" i="1"/>
  <c r="CF315" i="1"/>
  <c r="CF313" i="1"/>
  <c r="CF311" i="1"/>
  <c r="CF309" i="1"/>
  <c r="CF306" i="1"/>
  <c r="CF304" i="1"/>
  <c r="CF301" i="1"/>
  <c r="CF300" i="1"/>
  <c r="CF291" i="1"/>
  <c r="CF288" i="1"/>
  <c r="CF285" i="1"/>
  <c r="CF283" i="1"/>
  <c r="CF281" i="1"/>
  <c r="CF280" i="1"/>
  <c r="CF279" i="1"/>
  <c r="CF278" i="1"/>
  <c r="CF277" i="1"/>
  <c r="CF276" i="1"/>
  <c r="CF272" i="1"/>
  <c r="CF271" i="1"/>
  <c r="CF274" i="1"/>
  <c r="CF275" i="1"/>
  <c r="CF273" i="1"/>
  <c r="CF270" i="1"/>
  <c r="CF269" i="1"/>
  <c r="CF266" i="1"/>
  <c r="CF264" i="1"/>
  <c r="CF263" i="1"/>
  <c r="CF262" i="1"/>
  <c r="CF261" i="1"/>
  <c r="CF260" i="1"/>
  <c r="CF259" i="1"/>
  <c r="CF258" i="1"/>
  <c r="CF257" i="1"/>
  <c r="CF256" i="1"/>
  <c r="CF255" i="1"/>
  <c r="CF254" i="1"/>
  <c r="CF253" i="1"/>
  <c r="CF252" i="1"/>
  <c r="CF251" i="1"/>
  <c r="CF250" i="1"/>
  <c r="CF249" i="1"/>
  <c r="CF248" i="1"/>
  <c r="CF247" i="1"/>
  <c r="CF246" i="1"/>
  <c r="CF245" i="1"/>
  <c r="CF244" i="1"/>
  <c r="CF243" i="1"/>
  <c r="CF242" i="1"/>
  <c r="CF241" i="1"/>
  <c r="CF239" i="1"/>
  <c r="CF238" i="1"/>
  <c r="CF237" i="1"/>
  <c r="CF236" i="1"/>
  <c r="CF235" i="1"/>
  <c r="CF234" i="1"/>
  <c r="CF233" i="1"/>
  <c r="CF232" i="1"/>
  <c r="CF228" i="1"/>
  <c r="CF227" i="1"/>
  <c r="CF224" i="1"/>
  <c r="CF221" i="1"/>
  <c r="CF218" i="1"/>
  <c r="CF217" i="1"/>
  <c r="CF211" i="1"/>
  <c r="CF208" i="1"/>
  <c r="CF207" i="1"/>
  <c r="CF206" i="1"/>
  <c r="CF205" i="1"/>
  <c r="CF204" i="1"/>
  <c r="CF203" i="1"/>
  <c r="CF202" i="1"/>
  <c r="CF201" i="1"/>
  <c r="CF200" i="1"/>
  <c r="CF199" i="1"/>
  <c r="CF197" i="1"/>
  <c r="CF196" i="1"/>
  <c r="CF195" i="1"/>
  <c r="CF194" i="1"/>
  <c r="CF193" i="1"/>
  <c r="CF192" i="1"/>
  <c r="CF191" i="1"/>
  <c r="CF189" i="1"/>
  <c r="CF187" i="1"/>
  <c r="CF185" i="1"/>
  <c r="CF183" i="1"/>
  <c r="CF181" i="1"/>
  <c r="CF180" i="1"/>
  <c r="CF179" i="1"/>
  <c r="CF177" i="1"/>
  <c r="CF176" i="1"/>
  <c r="CF174" i="1"/>
  <c r="CF172" i="1"/>
  <c r="CF170" i="1"/>
  <c r="CF169" i="1"/>
  <c r="CF167" i="1"/>
  <c r="CF166" i="1"/>
  <c r="CF164" i="1"/>
  <c r="CF159" i="1"/>
  <c r="CF158" i="1"/>
  <c r="CF156" i="1"/>
  <c r="CF155" i="1"/>
  <c r="CF152" i="1"/>
  <c r="CF151" i="1"/>
  <c r="CF150" i="1"/>
  <c r="CF149" i="1"/>
  <c r="CF148" i="1"/>
  <c r="CF146" i="1"/>
  <c r="CF145" i="1"/>
  <c r="CF143" i="1"/>
  <c r="CF142" i="1"/>
  <c r="CF141" i="1"/>
  <c r="CF138" i="1"/>
  <c r="CF137" i="1"/>
  <c r="CF136" i="1"/>
  <c r="CF134" i="1"/>
  <c r="CF132" i="1"/>
  <c r="CF130" i="1"/>
  <c r="CF129" i="1"/>
  <c r="CF128" i="1"/>
  <c r="CF126" i="1"/>
  <c r="CF125" i="1"/>
  <c r="CF124" i="1"/>
  <c r="CF122" i="1"/>
  <c r="CF121" i="1"/>
  <c r="CF120" i="1"/>
  <c r="CF117" i="1"/>
  <c r="CF115" i="1"/>
  <c r="CF113" i="1"/>
  <c r="CF111" i="1"/>
  <c r="CF109" i="1"/>
  <c r="CF108" i="1"/>
  <c r="CF105" i="1"/>
  <c r="CF101" i="1"/>
  <c r="CF98" i="1"/>
  <c r="CF95" i="1"/>
  <c r="CF92" i="1"/>
  <c r="CF90" i="1"/>
  <c r="CF89" i="1"/>
  <c r="CF88" i="1"/>
  <c r="CF87" i="1"/>
  <c r="CF86" i="1"/>
  <c r="CF85" i="1"/>
  <c r="CF82" i="1"/>
  <c r="CF81" i="1"/>
  <c r="CF78" i="1"/>
  <c r="CF76" i="1"/>
  <c r="CF74" i="1"/>
  <c r="CF72" i="1"/>
  <c r="CF70" i="1"/>
  <c r="CF68" i="1"/>
  <c r="CF66" i="1"/>
  <c r="CF65" i="1"/>
  <c r="CF63" i="1"/>
  <c r="CF60" i="1"/>
  <c r="CF58" i="1"/>
  <c r="CF55" i="1"/>
  <c r="CF52" i="1"/>
  <c r="CF50" i="1"/>
  <c r="CF48" i="1"/>
  <c r="CF46" i="1"/>
  <c r="CF44" i="1"/>
  <c r="CF41" i="1"/>
  <c r="CF39" i="1"/>
  <c r="CF37" i="1"/>
  <c r="CF36" i="1"/>
  <c r="CF35" i="1"/>
  <c r="CF34" i="1"/>
  <c r="CF32" i="1"/>
  <c r="CF30" i="1"/>
  <c r="CF29" i="1"/>
  <c r="CF28" i="1"/>
  <c r="CF27" i="1"/>
  <c r="CF26" i="1"/>
  <c r="CF25" i="1"/>
  <c r="CF24" i="1"/>
  <c r="CF23" i="1"/>
  <c r="CF22" i="1"/>
  <c r="CF21" i="1"/>
  <c r="CF20" i="1"/>
  <c r="CF19" i="1"/>
  <c r="CF18" i="1"/>
  <c r="CF16" i="1"/>
  <c r="CF15" i="1"/>
  <c r="CF14" i="1"/>
  <c r="CF222" i="1" l="1"/>
  <c r="CF305" i="1"/>
  <c r="CF83" i="1"/>
  <c r="CA84" i="1"/>
  <c r="E84" i="1"/>
  <c r="CF290" i="1"/>
  <c r="AZ163" i="1"/>
  <c r="AF71" i="1"/>
  <c r="AG71" i="1"/>
  <c r="AH71" i="1"/>
  <c r="AI71" i="1"/>
  <c r="AJ71" i="1"/>
  <c r="AK71" i="1"/>
  <c r="AL71" i="1"/>
  <c r="AM71" i="1"/>
  <c r="AN71" i="1"/>
  <c r="AO71" i="1"/>
  <c r="AP71" i="1"/>
  <c r="AR71" i="1"/>
  <c r="AS71" i="1"/>
  <c r="AT71" i="1"/>
  <c r="AW71" i="1"/>
  <c r="AX71" i="1"/>
  <c r="AY71" i="1"/>
  <c r="BA71" i="1"/>
  <c r="V67" i="1"/>
  <c r="W67" i="1"/>
  <c r="X67" i="1"/>
  <c r="Y67" i="1"/>
  <c r="Z67" i="1"/>
  <c r="AA67" i="1"/>
  <c r="AB67" i="1"/>
  <c r="AC67" i="1"/>
  <c r="V69" i="1"/>
  <c r="W69" i="1"/>
  <c r="X69" i="1"/>
  <c r="Y69" i="1"/>
  <c r="Z69" i="1"/>
  <c r="AA69" i="1"/>
  <c r="AB69" i="1"/>
  <c r="AC69" i="1"/>
  <c r="J47" i="1"/>
  <c r="K47" i="1"/>
  <c r="L47" i="1"/>
  <c r="M47" i="1"/>
  <c r="N47" i="1"/>
  <c r="O47" i="1"/>
  <c r="D84" i="1" l="1"/>
  <c r="AZ162" i="1"/>
  <c r="CF12" i="1"/>
  <c r="CK316" i="1"/>
  <c r="CK314" i="1"/>
  <c r="CK312" i="1"/>
  <c r="CK310" i="1"/>
  <c r="CK308" i="1"/>
  <c r="CK303" i="1"/>
  <c r="CK287" i="1"/>
  <c r="CK284" i="1"/>
  <c r="CK282" i="1"/>
  <c r="CK265" i="1"/>
  <c r="CK240" i="1"/>
  <c r="CK220" i="1"/>
  <c r="CK216" i="1"/>
  <c r="CK210" i="1"/>
  <c r="CK198" i="1"/>
  <c r="CK190" i="1"/>
  <c r="CK188" i="1"/>
  <c r="CK186" i="1"/>
  <c r="CK184" i="1"/>
  <c r="CK182" i="1"/>
  <c r="CK178" i="1"/>
  <c r="CK173" i="1"/>
  <c r="CK171" i="1"/>
  <c r="CK168" i="1"/>
  <c r="CK165" i="1"/>
  <c r="CK163" i="1"/>
  <c r="CK157" i="1"/>
  <c r="CK154" i="1"/>
  <c r="CK147" i="1"/>
  <c r="CK144" i="1"/>
  <c r="CK140" i="1"/>
  <c r="CK135" i="1"/>
  <c r="CK133" i="1"/>
  <c r="CK131" i="1"/>
  <c r="CK127" i="1"/>
  <c r="CK123" i="1"/>
  <c r="CK119" i="1"/>
  <c r="CK116" i="1"/>
  <c r="CK112" i="1"/>
  <c r="CK110" i="1"/>
  <c r="CK107" i="1"/>
  <c r="CK104" i="1"/>
  <c r="CK100" i="1"/>
  <c r="CK97" i="1"/>
  <c r="CK94" i="1"/>
  <c r="CK80" i="1"/>
  <c r="CK77" i="1"/>
  <c r="CK75" i="1"/>
  <c r="CK73" i="1"/>
  <c r="CK71" i="1"/>
  <c r="CK69" i="1"/>
  <c r="CK67" i="1"/>
  <c r="CK64" i="1"/>
  <c r="CK62" i="1"/>
  <c r="CK59" i="1"/>
  <c r="CK57" i="1"/>
  <c r="CK54" i="1"/>
  <c r="CK51" i="1"/>
  <c r="CK49" i="1"/>
  <c r="CK47" i="1"/>
  <c r="CK45" i="1"/>
  <c r="CK43" i="1"/>
  <c r="CK40" i="1"/>
  <c r="CK38" i="1"/>
  <c r="CK33" i="1"/>
  <c r="CK31" i="1"/>
  <c r="CK17" i="1"/>
  <c r="CK13" i="1"/>
  <c r="CK11" i="1"/>
  <c r="CQ53" i="1"/>
  <c r="CP53" i="1"/>
  <c r="AZ53" i="1"/>
  <c r="AV53" i="1"/>
  <c r="AU53" i="1"/>
  <c r="CK225" i="1" l="1"/>
  <c r="CK219" i="1" s="1"/>
  <c r="CK153" i="1"/>
  <c r="CK99" i="1"/>
  <c r="CK53" i="1"/>
  <c r="CK215" i="1"/>
  <c r="CK96" i="1"/>
  <c r="CK42" i="1"/>
  <c r="CK56" i="1"/>
  <c r="CK106" i="1"/>
  <c r="CK118" i="1"/>
  <c r="CK162" i="1"/>
  <c r="CK175" i="1"/>
  <c r="CK289" i="1"/>
  <c r="CK61" i="1"/>
  <c r="CK93" i="1"/>
  <c r="CK209" i="1"/>
  <c r="CK286" i="1"/>
  <c r="CK10" i="1"/>
  <c r="CK79" i="1"/>
  <c r="CK139" i="1"/>
  <c r="CK318" i="1" l="1"/>
  <c r="O159" i="1" l="1"/>
  <c r="AZ62" i="1" l="1"/>
  <c r="CE278" i="1" l="1"/>
  <c r="DA112" i="1"/>
  <c r="CZ112" i="1"/>
  <c r="CT112" i="1"/>
  <c r="CQ112" i="1"/>
  <c r="CP112" i="1"/>
  <c r="CO112" i="1"/>
  <c r="CN112" i="1"/>
  <c r="CM112" i="1"/>
  <c r="CJ112" i="1"/>
  <c r="CI112" i="1"/>
  <c r="CH112" i="1"/>
  <c r="CG112" i="1"/>
  <c r="CE112" i="1"/>
  <c r="CD112" i="1"/>
  <c r="BZ112" i="1"/>
  <c r="BY112" i="1"/>
  <c r="BX112" i="1"/>
  <c r="BW112" i="1"/>
  <c r="BV112" i="1"/>
  <c r="BU112" i="1"/>
  <c r="BT112" i="1"/>
  <c r="BS112" i="1"/>
  <c r="BR112" i="1"/>
  <c r="BQ112" i="1"/>
  <c r="BP112" i="1"/>
  <c r="BN112" i="1"/>
  <c r="BM112" i="1"/>
  <c r="BJ112" i="1"/>
  <c r="BI112" i="1"/>
  <c r="BH112" i="1"/>
  <c r="BF112" i="1"/>
  <c r="BE112" i="1"/>
  <c r="BD112" i="1"/>
  <c r="AZ112" i="1"/>
  <c r="AY112" i="1"/>
  <c r="AX112" i="1"/>
  <c r="AW112" i="1"/>
  <c r="AV112" i="1"/>
  <c r="AU112" i="1"/>
  <c r="AT112" i="1"/>
  <c r="AS112" i="1"/>
  <c r="AR112" i="1"/>
  <c r="AP112" i="1"/>
  <c r="AO112" i="1"/>
  <c r="AN112" i="1"/>
  <c r="AM112" i="1"/>
  <c r="AL112" i="1"/>
  <c r="AK112" i="1"/>
  <c r="AJ112" i="1"/>
  <c r="AI112" i="1"/>
  <c r="AH112" i="1"/>
  <c r="AG112" i="1"/>
  <c r="AF112" i="1"/>
  <c r="AC112" i="1"/>
  <c r="AB112" i="1"/>
  <c r="AA112" i="1"/>
  <c r="Z112" i="1"/>
  <c r="Y112" i="1"/>
  <c r="X112" i="1"/>
  <c r="W112" i="1"/>
  <c r="V112" i="1"/>
  <c r="T112" i="1"/>
  <c r="S112" i="1"/>
  <c r="R112" i="1"/>
  <c r="Q112" i="1"/>
  <c r="O112" i="1"/>
  <c r="N112" i="1"/>
  <c r="M112" i="1"/>
  <c r="L112" i="1"/>
  <c r="K112" i="1"/>
  <c r="J112" i="1"/>
  <c r="H112" i="1"/>
  <c r="G112" i="1"/>
  <c r="BA112" i="1" l="1"/>
  <c r="CY115" i="1" l="1"/>
  <c r="CL115" i="1"/>
  <c r="CC115" i="1"/>
  <c r="BO115" i="1"/>
  <c r="BL115" i="1"/>
  <c r="BG115" i="1"/>
  <c r="BC115" i="1"/>
  <c r="AE115" i="1"/>
  <c r="U115" i="1"/>
  <c r="P115" i="1"/>
  <c r="I115" i="1"/>
  <c r="CY113" i="1"/>
  <c r="CL113" i="1"/>
  <c r="CC113" i="1"/>
  <c r="BO113" i="1"/>
  <c r="BL113" i="1"/>
  <c r="BG113" i="1"/>
  <c r="BC113" i="1"/>
  <c r="AE113" i="1"/>
  <c r="U113" i="1"/>
  <c r="P113" i="1"/>
  <c r="I113" i="1"/>
  <c r="DA100" i="1"/>
  <c r="CZ100" i="1"/>
  <c r="CT100" i="1"/>
  <c r="CQ100" i="1"/>
  <c r="CP100" i="1"/>
  <c r="CO100" i="1"/>
  <c r="CN100" i="1"/>
  <c r="CM100" i="1"/>
  <c r="CJ100" i="1"/>
  <c r="CI100" i="1"/>
  <c r="CH100" i="1"/>
  <c r="CG100" i="1"/>
  <c r="CE100" i="1"/>
  <c r="CD100" i="1"/>
  <c r="BZ100" i="1"/>
  <c r="BY100" i="1"/>
  <c r="BX100" i="1"/>
  <c r="BW100" i="1"/>
  <c r="BV100" i="1"/>
  <c r="BU100" i="1"/>
  <c r="BT100" i="1"/>
  <c r="BS100" i="1"/>
  <c r="BR100" i="1"/>
  <c r="BQ100" i="1"/>
  <c r="BP100" i="1"/>
  <c r="BN100" i="1"/>
  <c r="BM100" i="1"/>
  <c r="BJ100" i="1"/>
  <c r="BI100" i="1"/>
  <c r="BH100" i="1"/>
  <c r="BF100" i="1"/>
  <c r="BE100" i="1"/>
  <c r="BD100" i="1"/>
  <c r="AZ100" i="1"/>
  <c r="AY100" i="1"/>
  <c r="AX100" i="1"/>
  <c r="AW100" i="1"/>
  <c r="AV100" i="1"/>
  <c r="AU100" i="1"/>
  <c r="AT100" i="1"/>
  <c r="AS100" i="1"/>
  <c r="AR100" i="1"/>
  <c r="AP100" i="1"/>
  <c r="AO100" i="1"/>
  <c r="AN100" i="1"/>
  <c r="AM100" i="1"/>
  <c r="AL100" i="1"/>
  <c r="AK100" i="1"/>
  <c r="AJ100" i="1"/>
  <c r="AI100" i="1"/>
  <c r="AH100" i="1"/>
  <c r="AG100" i="1"/>
  <c r="AF100" i="1"/>
  <c r="AC100" i="1"/>
  <c r="AB100" i="1"/>
  <c r="AA100" i="1"/>
  <c r="Z100" i="1"/>
  <c r="Y100" i="1"/>
  <c r="X100" i="1"/>
  <c r="W100" i="1"/>
  <c r="V100" i="1"/>
  <c r="T100" i="1"/>
  <c r="S100" i="1"/>
  <c r="R100" i="1"/>
  <c r="Q100" i="1"/>
  <c r="O100" i="1"/>
  <c r="N100" i="1"/>
  <c r="M100" i="1"/>
  <c r="L100" i="1"/>
  <c r="K100" i="1"/>
  <c r="J100" i="1"/>
  <c r="H100" i="1"/>
  <c r="G100" i="1"/>
  <c r="CY101" i="1"/>
  <c r="CL101" i="1"/>
  <c r="CC101" i="1"/>
  <c r="BO101" i="1"/>
  <c r="BL101" i="1"/>
  <c r="BG101" i="1"/>
  <c r="BC101" i="1"/>
  <c r="AE101" i="1"/>
  <c r="U101" i="1"/>
  <c r="P101" i="1"/>
  <c r="I101" i="1"/>
  <c r="AZ99" i="1" l="1"/>
  <c r="F113" i="1"/>
  <c r="AU99" i="1"/>
  <c r="AV99" i="1"/>
  <c r="CP99" i="1"/>
  <c r="CQ99" i="1"/>
  <c r="F115" i="1"/>
  <c r="F101" i="1"/>
  <c r="BA100" i="1"/>
  <c r="CX101" i="1"/>
  <c r="CX113" i="1"/>
  <c r="CX115" i="1"/>
  <c r="BB101" i="1"/>
  <c r="CB101" i="1"/>
  <c r="BB113" i="1"/>
  <c r="CB113" i="1"/>
  <c r="BB115" i="1"/>
  <c r="CB115" i="1"/>
  <c r="CA101" i="1" l="1"/>
  <c r="E101" i="1"/>
  <c r="E113" i="1"/>
  <c r="E115" i="1"/>
  <c r="CA113" i="1"/>
  <c r="CA115" i="1"/>
  <c r="D113" i="1" l="1"/>
  <c r="D101" i="1"/>
  <c r="D115" i="1"/>
  <c r="CY300" i="1" l="1"/>
  <c r="CL300" i="1"/>
  <c r="CC300" i="1"/>
  <c r="BO300" i="1"/>
  <c r="BL300" i="1"/>
  <c r="BG300" i="1"/>
  <c r="BC300" i="1"/>
  <c r="AE300" i="1"/>
  <c r="U300" i="1"/>
  <c r="P300" i="1"/>
  <c r="I300" i="1"/>
  <c r="CY236" i="1"/>
  <c r="CL236" i="1"/>
  <c r="CC236" i="1"/>
  <c r="BO236" i="1"/>
  <c r="BL236" i="1"/>
  <c r="BG236" i="1"/>
  <c r="BC236" i="1"/>
  <c r="AE236" i="1"/>
  <c r="U236" i="1"/>
  <c r="P236" i="1"/>
  <c r="I236" i="1"/>
  <c r="F236" i="1" l="1"/>
  <c r="F300" i="1"/>
  <c r="CX236" i="1"/>
  <c r="CX300" i="1"/>
  <c r="BB300" i="1"/>
  <c r="CB236" i="1"/>
  <c r="BB236" i="1"/>
  <c r="CB300" i="1"/>
  <c r="BG304" i="1"/>
  <c r="BG100" i="1" l="1"/>
  <c r="CA236" i="1"/>
  <c r="CA300" i="1"/>
  <c r="E300" i="1"/>
  <c r="E236" i="1"/>
  <c r="D300" i="1" l="1"/>
  <c r="D236" i="1"/>
  <c r="CT308" i="1"/>
  <c r="CZ308" i="1"/>
  <c r="DA308" i="1"/>
  <c r="CP308" i="1"/>
  <c r="CQ308" i="1"/>
  <c r="CY280" i="1" l="1"/>
  <c r="CL280" i="1"/>
  <c r="CC280" i="1"/>
  <c r="BO280" i="1"/>
  <c r="BL280" i="1"/>
  <c r="BG280" i="1"/>
  <c r="BC280" i="1"/>
  <c r="AE280" i="1"/>
  <c r="U280" i="1"/>
  <c r="P280" i="1"/>
  <c r="I280" i="1"/>
  <c r="CP165" i="1"/>
  <c r="CP116" i="1"/>
  <c r="CP110" i="1"/>
  <c r="CP107" i="1"/>
  <c r="CP38" i="1"/>
  <c r="CN316" i="1"/>
  <c r="CN314" i="1"/>
  <c r="CN312" i="1"/>
  <c r="CN310" i="1"/>
  <c r="CN308" i="1"/>
  <c r="CN303" i="1"/>
  <c r="CN287" i="1"/>
  <c r="CN284" i="1"/>
  <c r="CN282" i="1"/>
  <c r="CN265" i="1"/>
  <c r="CN240" i="1"/>
  <c r="CN220" i="1"/>
  <c r="CN216" i="1"/>
  <c r="CN210" i="1"/>
  <c r="CN198" i="1"/>
  <c r="CN190" i="1"/>
  <c r="CN188" i="1"/>
  <c r="CN186" i="1"/>
  <c r="CN184" i="1"/>
  <c r="CN182" i="1"/>
  <c r="CN178" i="1"/>
  <c r="CN173" i="1"/>
  <c r="CN171" i="1"/>
  <c r="CN168" i="1"/>
  <c r="CN165" i="1"/>
  <c r="CN163" i="1"/>
  <c r="CN157" i="1"/>
  <c r="CN154" i="1"/>
  <c r="CN147" i="1"/>
  <c r="CN144" i="1"/>
  <c r="CN140" i="1"/>
  <c r="CN135" i="1"/>
  <c r="CN133" i="1"/>
  <c r="CN131" i="1"/>
  <c r="CN127" i="1"/>
  <c r="CN123" i="1"/>
  <c r="CN119" i="1"/>
  <c r="CN116" i="1"/>
  <c r="CN110" i="1"/>
  <c r="CN107" i="1"/>
  <c r="CN104" i="1"/>
  <c r="CN97" i="1"/>
  <c r="CN94" i="1"/>
  <c r="CN80" i="1"/>
  <c r="CN77" i="1"/>
  <c r="CN75" i="1"/>
  <c r="CN73" i="1"/>
  <c r="CN71" i="1"/>
  <c r="CN69" i="1"/>
  <c r="CN67" i="1"/>
  <c r="CN64" i="1"/>
  <c r="CN62" i="1"/>
  <c r="CN59" i="1"/>
  <c r="CN57" i="1"/>
  <c r="CN54" i="1"/>
  <c r="CN51" i="1"/>
  <c r="CN49" i="1"/>
  <c r="CN47" i="1"/>
  <c r="CN45" i="1"/>
  <c r="CN43" i="1"/>
  <c r="CN40" i="1"/>
  <c r="CN38" i="1"/>
  <c r="CN33" i="1"/>
  <c r="CN31" i="1"/>
  <c r="CN17" i="1"/>
  <c r="CN13" i="1"/>
  <c r="CN11" i="1"/>
  <c r="CI316" i="1"/>
  <c r="CI314" i="1"/>
  <c r="CI312" i="1"/>
  <c r="CI310" i="1"/>
  <c r="CI308" i="1"/>
  <c r="CI303" i="1"/>
  <c r="CI287" i="1"/>
  <c r="CI284" i="1"/>
  <c r="CI282" i="1"/>
  <c r="CI265" i="1"/>
  <c r="CI240" i="1"/>
  <c r="CI220" i="1"/>
  <c r="CI216" i="1"/>
  <c r="CI210" i="1"/>
  <c r="CI198" i="1"/>
  <c r="CI190" i="1"/>
  <c r="CI188" i="1"/>
  <c r="CI186" i="1"/>
  <c r="CI184" i="1"/>
  <c r="CI182" i="1"/>
  <c r="CI178" i="1"/>
  <c r="CI173" i="1"/>
  <c r="CI171" i="1"/>
  <c r="CI168" i="1"/>
  <c r="CI165" i="1"/>
  <c r="CI163" i="1"/>
  <c r="CI157" i="1"/>
  <c r="CI154" i="1"/>
  <c r="CI147" i="1"/>
  <c r="CI144" i="1"/>
  <c r="CI140" i="1"/>
  <c r="CI135" i="1"/>
  <c r="CI133" i="1"/>
  <c r="CI131" i="1"/>
  <c r="CI127" i="1"/>
  <c r="CI123" i="1"/>
  <c r="CI119" i="1"/>
  <c r="CI116" i="1"/>
  <c r="CI110" i="1"/>
  <c r="CI107" i="1"/>
  <c r="CI104" i="1"/>
  <c r="CI97" i="1"/>
  <c r="CI94" i="1"/>
  <c r="CI80" i="1"/>
  <c r="CI77" i="1"/>
  <c r="CI75" i="1"/>
  <c r="CI73" i="1"/>
  <c r="CI71" i="1"/>
  <c r="CI69" i="1"/>
  <c r="CI67" i="1"/>
  <c r="CI64" i="1"/>
  <c r="CI62" i="1"/>
  <c r="CI59" i="1"/>
  <c r="CI57" i="1"/>
  <c r="CI54" i="1"/>
  <c r="CI51" i="1"/>
  <c r="CI49" i="1"/>
  <c r="CI47" i="1"/>
  <c r="CI45" i="1"/>
  <c r="CI43" i="1"/>
  <c r="CI40" i="1"/>
  <c r="CI38" i="1"/>
  <c r="CI33" i="1"/>
  <c r="CI31" i="1"/>
  <c r="CI17" i="1"/>
  <c r="CI13" i="1"/>
  <c r="CI11" i="1"/>
  <c r="CH316" i="1"/>
  <c r="CH314" i="1"/>
  <c r="CH312" i="1"/>
  <c r="CH310" i="1"/>
  <c r="CH308" i="1"/>
  <c r="CH303" i="1"/>
  <c r="CH287" i="1"/>
  <c r="CH284" i="1"/>
  <c r="CH282" i="1"/>
  <c r="CH265" i="1"/>
  <c r="CH240" i="1"/>
  <c r="CH220" i="1"/>
  <c r="CH216" i="1"/>
  <c r="CH210" i="1"/>
  <c r="CH198" i="1"/>
  <c r="CH190" i="1"/>
  <c r="CH188" i="1"/>
  <c r="CH186" i="1"/>
  <c r="CH184" i="1"/>
  <c r="CH182" i="1"/>
  <c r="CH178" i="1"/>
  <c r="CH173" i="1"/>
  <c r="CH171" i="1"/>
  <c r="CH168" i="1"/>
  <c r="CH165" i="1"/>
  <c r="CH163" i="1"/>
  <c r="CH157" i="1"/>
  <c r="CH154" i="1"/>
  <c r="CH147" i="1"/>
  <c r="CH144" i="1"/>
  <c r="CH140" i="1"/>
  <c r="CH135" i="1"/>
  <c r="CH133" i="1"/>
  <c r="CH131" i="1"/>
  <c r="CH127" i="1"/>
  <c r="CH123" i="1"/>
  <c r="CH119" i="1"/>
  <c r="CH116" i="1"/>
  <c r="CH110" i="1"/>
  <c r="CH107" i="1"/>
  <c r="CH104" i="1"/>
  <c r="CH97" i="1"/>
  <c r="CH94" i="1"/>
  <c r="CH80" i="1"/>
  <c r="CH77" i="1"/>
  <c r="CH75" i="1"/>
  <c r="CH73" i="1"/>
  <c r="CH71" i="1"/>
  <c r="CH69" i="1"/>
  <c r="CH67" i="1"/>
  <c r="CH64" i="1"/>
  <c r="CH62" i="1"/>
  <c r="CH59" i="1"/>
  <c r="CH57" i="1"/>
  <c r="CH54" i="1"/>
  <c r="CH51" i="1"/>
  <c r="CH49" i="1"/>
  <c r="CH47" i="1"/>
  <c r="CH45" i="1"/>
  <c r="CH43" i="1"/>
  <c r="CH40" i="1"/>
  <c r="CH38" i="1"/>
  <c r="CH33" i="1"/>
  <c r="CH31" i="1"/>
  <c r="CH17" i="1"/>
  <c r="CH13" i="1"/>
  <c r="CH11" i="1"/>
  <c r="CY266" i="1"/>
  <c r="CL266" i="1"/>
  <c r="CC266" i="1"/>
  <c r="BO266" i="1"/>
  <c r="BL266" i="1"/>
  <c r="BG266" i="1"/>
  <c r="BC266" i="1"/>
  <c r="AE266" i="1"/>
  <c r="U266" i="1"/>
  <c r="P266" i="1"/>
  <c r="I266" i="1"/>
  <c r="CY228" i="1"/>
  <c r="CL228" i="1"/>
  <c r="CC228" i="1"/>
  <c r="BO228" i="1"/>
  <c r="BL228" i="1"/>
  <c r="BG228" i="1"/>
  <c r="BC228" i="1"/>
  <c r="AE228" i="1"/>
  <c r="U228" i="1"/>
  <c r="P228" i="1"/>
  <c r="O228" i="1"/>
  <c r="CY233" i="1"/>
  <c r="CL233" i="1"/>
  <c r="CC233" i="1"/>
  <c r="BO233" i="1"/>
  <c r="BL233" i="1"/>
  <c r="BG233" i="1"/>
  <c r="BC233" i="1"/>
  <c r="AE233" i="1"/>
  <c r="U233" i="1"/>
  <c r="P233" i="1"/>
  <c r="I233" i="1"/>
  <c r="AE197" i="1"/>
  <c r="AE196" i="1"/>
  <c r="AE195" i="1"/>
  <c r="AE194" i="1"/>
  <c r="AE193" i="1"/>
  <c r="AE192" i="1"/>
  <c r="AE191" i="1"/>
  <c r="AE189" i="1"/>
  <c r="BO48" i="1"/>
  <c r="CI225" i="1" l="1"/>
  <c r="CN225" i="1"/>
  <c r="CH225" i="1"/>
  <c r="CH99" i="1"/>
  <c r="CI99" i="1"/>
  <c r="CN99" i="1"/>
  <c r="CP10" i="1"/>
  <c r="F266" i="1"/>
  <c r="F280" i="1"/>
  <c r="F233" i="1"/>
  <c r="CN153" i="1"/>
  <c r="CH153" i="1"/>
  <c r="CI153" i="1"/>
  <c r="CH53" i="1"/>
  <c r="CN53" i="1"/>
  <c r="CI53" i="1"/>
  <c r="CX228" i="1"/>
  <c r="CX266" i="1"/>
  <c r="CH93" i="1"/>
  <c r="CI93" i="1"/>
  <c r="BO47" i="1"/>
  <c r="CX233" i="1"/>
  <c r="CH96" i="1"/>
  <c r="CH209" i="1"/>
  <c r="CH286" i="1"/>
  <c r="CI96" i="1"/>
  <c r="CI209" i="1"/>
  <c r="CI286" i="1"/>
  <c r="CN96" i="1"/>
  <c r="CN209" i="1"/>
  <c r="CN286" i="1"/>
  <c r="CP289" i="1"/>
  <c r="CX280" i="1"/>
  <c r="I228" i="1"/>
  <c r="CH215" i="1"/>
  <c r="CI215" i="1"/>
  <c r="CN93" i="1"/>
  <c r="CN215" i="1"/>
  <c r="CP162" i="1"/>
  <c r="CN162" i="1"/>
  <c r="BB266" i="1"/>
  <c r="CB280" i="1"/>
  <c r="CI118" i="1"/>
  <c r="CI175" i="1"/>
  <c r="BB280" i="1"/>
  <c r="BB233" i="1"/>
  <c r="CH118" i="1"/>
  <c r="CH175" i="1"/>
  <c r="CI162" i="1"/>
  <c r="CI289" i="1"/>
  <c r="CN10" i="1"/>
  <c r="CN56" i="1"/>
  <c r="CN61" i="1"/>
  <c r="CN118" i="1"/>
  <c r="CN139" i="1"/>
  <c r="CN175" i="1"/>
  <c r="CN289" i="1"/>
  <c r="CH42" i="1"/>
  <c r="CH162" i="1"/>
  <c r="CH289" i="1"/>
  <c r="CI10" i="1"/>
  <c r="CI56" i="1"/>
  <c r="CI61" i="1"/>
  <c r="CI79" i="1"/>
  <c r="CI106" i="1"/>
  <c r="CN42" i="1"/>
  <c r="CN106" i="1"/>
  <c r="CH61" i="1"/>
  <c r="CH106" i="1"/>
  <c r="CI42" i="1"/>
  <c r="CN79" i="1"/>
  <c r="CH10" i="1"/>
  <c r="CH56" i="1"/>
  <c r="CH139" i="1"/>
  <c r="CI139" i="1"/>
  <c r="CB266" i="1"/>
  <c r="CH79" i="1"/>
  <c r="CB228" i="1"/>
  <c r="CB233" i="1"/>
  <c r="AZ75" i="1"/>
  <c r="AZ240" i="1"/>
  <c r="AY40" i="1"/>
  <c r="AZ40" i="1"/>
  <c r="BA40" i="1"/>
  <c r="AZ17" i="1"/>
  <c r="AE172" i="1"/>
  <c r="AZ225" i="1" l="1"/>
  <c r="F228" i="1"/>
  <c r="CN219" i="1"/>
  <c r="CP318" i="1"/>
  <c r="CI219" i="1"/>
  <c r="CH219" i="1"/>
  <c r="E233" i="1"/>
  <c r="CA233" i="1"/>
  <c r="CA228" i="1"/>
  <c r="CA266" i="1"/>
  <c r="AZ61" i="1"/>
  <c r="E266" i="1"/>
  <c r="CA280" i="1"/>
  <c r="E280" i="1"/>
  <c r="AZ10" i="1"/>
  <c r="D280" i="1" l="1"/>
  <c r="D233" i="1"/>
  <c r="D266" i="1"/>
  <c r="CN318" i="1"/>
  <c r="CI318" i="1"/>
  <c r="CH318" i="1"/>
  <c r="E228" i="1"/>
  <c r="AZ219" i="1"/>
  <c r="CY279" i="1"/>
  <c r="CL279" i="1"/>
  <c r="CC279" i="1"/>
  <c r="BO279" i="1"/>
  <c r="BL279" i="1"/>
  <c r="BG279" i="1"/>
  <c r="BC279" i="1"/>
  <c r="AE279" i="1"/>
  <c r="U279" i="1"/>
  <c r="P279" i="1"/>
  <c r="I279" i="1"/>
  <c r="CY278" i="1"/>
  <c r="CL278" i="1"/>
  <c r="CC278" i="1"/>
  <c r="BO278" i="1"/>
  <c r="BL278" i="1"/>
  <c r="BG278" i="1"/>
  <c r="BC278" i="1"/>
  <c r="AE278" i="1"/>
  <c r="U278" i="1"/>
  <c r="P278" i="1"/>
  <c r="I278" i="1"/>
  <c r="CY271" i="1"/>
  <c r="CL271" i="1"/>
  <c r="CC271" i="1"/>
  <c r="BO271" i="1"/>
  <c r="BL271" i="1"/>
  <c r="BG271" i="1"/>
  <c r="BC271" i="1"/>
  <c r="AE271" i="1"/>
  <c r="U271" i="1"/>
  <c r="P271" i="1"/>
  <c r="I271" i="1"/>
  <c r="CY239" i="1"/>
  <c r="CL239" i="1"/>
  <c r="CC239" i="1"/>
  <c r="BO239" i="1"/>
  <c r="BL239" i="1"/>
  <c r="BG239" i="1"/>
  <c r="BC239" i="1"/>
  <c r="AE239" i="1"/>
  <c r="U239" i="1"/>
  <c r="P239" i="1"/>
  <c r="I239" i="1"/>
  <c r="CY234" i="1"/>
  <c r="CL234" i="1"/>
  <c r="CC234" i="1"/>
  <c r="BO234" i="1"/>
  <c r="BL234" i="1"/>
  <c r="BG234" i="1"/>
  <c r="BC234" i="1"/>
  <c r="AE234" i="1"/>
  <c r="U234" i="1"/>
  <c r="P234" i="1"/>
  <c r="I234" i="1"/>
  <c r="CY232" i="1"/>
  <c r="CL232" i="1"/>
  <c r="CC232" i="1"/>
  <c r="BO232" i="1"/>
  <c r="BL232" i="1"/>
  <c r="BG232" i="1"/>
  <c r="BC232" i="1"/>
  <c r="AE232" i="1"/>
  <c r="U232" i="1"/>
  <c r="P232" i="1"/>
  <c r="I232" i="1"/>
  <c r="CY92" i="1"/>
  <c r="CL92" i="1"/>
  <c r="CC92" i="1"/>
  <c r="BO92" i="1"/>
  <c r="BL92" i="1"/>
  <c r="BG92" i="1"/>
  <c r="BC92" i="1"/>
  <c r="AE92" i="1"/>
  <c r="U92" i="1"/>
  <c r="P92" i="1"/>
  <c r="I92" i="1"/>
  <c r="CY88" i="1"/>
  <c r="CL88" i="1"/>
  <c r="CC88" i="1"/>
  <c r="BO88" i="1"/>
  <c r="BL88" i="1"/>
  <c r="BG88" i="1"/>
  <c r="BC88" i="1"/>
  <c r="AE88" i="1"/>
  <c r="U88" i="1"/>
  <c r="P88" i="1"/>
  <c r="I88" i="1"/>
  <c r="D228" i="1" l="1"/>
  <c r="F234" i="1"/>
  <c r="F88" i="1"/>
  <c r="F278" i="1"/>
  <c r="F92" i="1"/>
  <c r="F239" i="1"/>
  <c r="F279" i="1"/>
  <c r="F232" i="1"/>
  <c r="F271" i="1"/>
  <c r="AZ318" i="1"/>
  <c r="BB239" i="1"/>
  <c r="CB92" i="1"/>
  <c r="CX92" i="1"/>
  <c r="BB88" i="1"/>
  <c r="CB271" i="1"/>
  <c r="CX271" i="1"/>
  <c r="BB279" i="1"/>
  <c r="BB232" i="1"/>
  <c r="CB232" i="1"/>
  <c r="BB234" i="1"/>
  <c r="CB234" i="1"/>
  <c r="BB278" i="1"/>
  <c r="CB278" i="1"/>
  <c r="CB88" i="1"/>
  <c r="CX88" i="1"/>
  <c r="BB92" i="1"/>
  <c r="CX232" i="1"/>
  <c r="CX234" i="1"/>
  <c r="CB239" i="1"/>
  <c r="CX239" i="1"/>
  <c r="BB271" i="1"/>
  <c r="CX278" i="1"/>
  <c r="CB279" i="1"/>
  <c r="CX279" i="1"/>
  <c r="CA271" i="1" l="1"/>
  <c r="CA92" i="1"/>
  <c r="E234" i="1"/>
  <c r="E271" i="1"/>
  <c r="E232" i="1"/>
  <c r="CA279" i="1"/>
  <c r="E92" i="1"/>
  <c r="CA88" i="1"/>
  <c r="E88" i="1"/>
  <c r="E279" i="1"/>
  <c r="CA278" i="1"/>
  <c r="E239" i="1"/>
  <c r="CA234" i="1"/>
  <c r="CA232" i="1"/>
  <c r="E278" i="1"/>
  <c r="CA239" i="1"/>
  <c r="D271" i="1" l="1"/>
  <c r="D278" i="1"/>
  <c r="D232" i="1"/>
  <c r="D234" i="1"/>
  <c r="D239" i="1"/>
  <c r="D279" i="1"/>
  <c r="D88" i="1"/>
  <c r="D92" i="1"/>
  <c r="CC39" i="1" l="1"/>
  <c r="BA38" i="1"/>
  <c r="AM38" i="1"/>
  <c r="AK38" i="1"/>
  <c r="AI38" i="1"/>
  <c r="AH38" i="1"/>
  <c r="AA38" i="1"/>
  <c r="Z38" i="1"/>
  <c r="Y38" i="1"/>
  <c r="X38" i="1"/>
  <c r="W38" i="1"/>
  <c r="V38" i="1"/>
  <c r="T38" i="1"/>
  <c r="O38" i="1"/>
  <c r="H38" i="1"/>
  <c r="G38" i="1"/>
  <c r="DA38" i="1"/>
  <c r="CZ38" i="1"/>
  <c r="CT38" i="1"/>
  <c r="CQ38" i="1"/>
  <c r="CO38" i="1"/>
  <c r="CM38" i="1"/>
  <c r="CJ38" i="1"/>
  <c r="CG38" i="1"/>
  <c r="CD38" i="1"/>
  <c r="BZ38" i="1"/>
  <c r="BY38" i="1"/>
  <c r="BX38" i="1"/>
  <c r="BW38" i="1"/>
  <c r="BV38" i="1"/>
  <c r="BU38" i="1"/>
  <c r="BT38" i="1"/>
  <c r="BS38" i="1"/>
  <c r="BR38" i="1"/>
  <c r="BQ38" i="1"/>
  <c r="BP38" i="1"/>
  <c r="BN38" i="1"/>
  <c r="BM38" i="1"/>
  <c r="BJ38" i="1"/>
  <c r="BI38" i="1"/>
  <c r="BH38" i="1"/>
  <c r="BF38" i="1"/>
  <c r="BE38" i="1"/>
  <c r="BD38" i="1"/>
  <c r="AY38" i="1"/>
  <c r="AX38" i="1"/>
  <c r="AW38" i="1"/>
  <c r="AV38" i="1"/>
  <c r="AU38" i="1"/>
  <c r="AT38" i="1"/>
  <c r="AS38" i="1"/>
  <c r="AR38" i="1"/>
  <c r="AP38" i="1"/>
  <c r="AO38" i="1"/>
  <c r="AN38" i="1"/>
  <c r="AL38" i="1"/>
  <c r="AJ38" i="1"/>
  <c r="AG38" i="1"/>
  <c r="AF38" i="1"/>
  <c r="AC38" i="1"/>
  <c r="AB38" i="1"/>
  <c r="S38" i="1"/>
  <c r="R38" i="1"/>
  <c r="Q38" i="1"/>
  <c r="N38" i="1"/>
  <c r="M38" i="1"/>
  <c r="L38" i="1"/>
  <c r="K38" i="1"/>
  <c r="J38" i="1"/>
  <c r="CY39" i="1"/>
  <c r="CL39" i="1"/>
  <c r="BO39" i="1"/>
  <c r="BL39" i="1"/>
  <c r="BG39" i="1"/>
  <c r="BC39" i="1"/>
  <c r="P39" i="1"/>
  <c r="CQ10" i="1" l="1"/>
  <c r="BB39" i="1"/>
  <c r="AV10" i="1"/>
  <c r="AU10" i="1"/>
  <c r="BO58" i="1"/>
  <c r="CX39" i="1"/>
  <c r="CE38" i="1"/>
  <c r="I39" i="1"/>
  <c r="U39" i="1"/>
  <c r="AE39" i="1"/>
  <c r="CB39" i="1"/>
  <c r="F39" i="1" l="1"/>
  <c r="CA39" i="1"/>
  <c r="E39" i="1" l="1"/>
  <c r="D39" i="1" l="1"/>
  <c r="CQ289" i="1" l="1"/>
  <c r="CY291" i="1"/>
  <c r="CL291" i="1"/>
  <c r="CC291" i="1"/>
  <c r="BO291" i="1"/>
  <c r="BL291" i="1"/>
  <c r="BG291" i="1"/>
  <c r="BC291" i="1"/>
  <c r="AE291" i="1"/>
  <c r="U291" i="1"/>
  <c r="P291" i="1"/>
  <c r="I291" i="1"/>
  <c r="F291" i="1" l="1"/>
  <c r="CX291" i="1"/>
  <c r="CB291" i="1"/>
  <c r="BB291" i="1"/>
  <c r="CA291" i="1" l="1"/>
  <c r="E291" i="1"/>
  <c r="D291" i="1" l="1"/>
  <c r="BL109" i="1"/>
  <c r="BN316" i="1" l="1"/>
  <c r="BN314" i="1"/>
  <c r="BN312" i="1"/>
  <c r="BN310" i="1"/>
  <c r="BN308" i="1"/>
  <c r="BN303" i="1"/>
  <c r="BN287" i="1"/>
  <c r="BN284" i="1"/>
  <c r="BN282" i="1"/>
  <c r="BN265" i="1"/>
  <c r="BN240" i="1"/>
  <c r="BN220" i="1"/>
  <c r="BN216" i="1"/>
  <c r="BN210" i="1"/>
  <c r="BN198" i="1"/>
  <c r="BN190" i="1"/>
  <c r="BN188" i="1"/>
  <c r="BN186" i="1"/>
  <c r="BN184" i="1"/>
  <c r="BN182" i="1"/>
  <c r="BN178" i="1"/>
  <c r="BN173" i="1"/>
  <c r="BN171" i="1"/>
  <c r="BN168" i="1"/>
  <c r="BN165" i="1"/>
  <c r="BN163" i="1"/>
  <c r="BN157" i="1"/>
  <c r="BN154" i="1"/>
  <c r="BN147" i="1"/>
  <c r="BN144" i="1"/>
  <c r="BN140" i="1"/>
  <c r="BN135" i="1"/>
  <c r="BN133" i="1"/>
  <c r="BN131" i="1"/>
  <c r="BN127" i="1"/>
  <c r="BN123" i="1"/>
  <c r="BN119" i="1"/>
  <c r="BN116" i="1"/>
  <c r="BN110" i="1"/>
  <c r="BN107" i="1"/>
  <c r="BN104" i="1"/>
  <c r="BN97" i="1"/>
  <c r="BN94" i="1"/>
  <c r="BN80" i="1"/>
  <c r="BN77" i="1"/>
  <c r="BN75" i="1"/>
  <c r="BN73" i="1"/>
  <c r="BN71" i="1"/>
  <c r="BN69" i="1"/>
  <c r="BN67" i="1"/>
  <c r="BN64" i="1"/>
  <c r="BN62" i="1"/>
  <c r="BN59" i="1"/>
  <c r="BN57" i="1"/>
  <c r="BN54" i="1"/>
  <c r="BN51" i="1"/>
  <c r="BN49" i="1"/>
  <c r="BN47" i="1"/>
  <c r="BN45" i="1"/>
  <c r="BN43" i="1"/>
  <c r="BN40" i="1"/>
  <c r="BN33" i="1"/>
  <c r="BN31" i="1"/>
  <c r="BN17" i="1"/>
  <c r="BN13" i="1"/>
  <c r="BN11" i="1"/>
  <c r="DA107" i="1"/>
  <c r="CZ107" i="1"/>
  <c r="CT107" i="1"/>
  <c r="CQ107" i="1"/>
  <c r="CO107" i="1"/>
  <c r="CM107" i="1"/>
  <c r="CJ107" i="1"/>
  <c r="CG107" i="1"/>
  <c r="CE107" i="1"/>
  <c r="CD107" i="1"/>
  <c r="BZ107" i="1"/>
  <c r="BY107" i="1"/>
  <c r="BX107" i="1"/>
  <c r="BW107" i="1"/>
  <c r="BV107" i="1"/>
  <c r="BU107" i="1"/>
  <c r="BT107" i="1"/>
  <c r="BS107" i="1"/>
  <c r="BR107" i="1"/>
  <c r="BQ107" i="1"/>
  <c r="BP107" i="1"/>
  <c r="BM107" i="1"/>
  <c r="BJ107" i="1"/>
  <c r="BI107" i="1"/>
  <c r="BH107" i="1"/>
  <c r="BF107" i="1"/>
  <c r="BD107" i="1"/>
  <c r="BA107" i="1"/>
  <c r="AY107" i="1"/>
  <c r="AX107" i="1"/>
  <c r="AW107" i="1"/>
  <c r="AV107" i="1"/>
  <c r="AU107" i="1"/>
  <c r="AT107" i="1"/>
  <c r="AS107" i="1"/>
  <c r="AR107" i="1"/>
  <c r="AP107" i="1"/>
  <c r="AO107" i="1"/>
  <c r="AN107" i="1"/>
  <c r="AM107" i="1"/>
  <c r="AL107" i="1"/>
  <c r="AK107" i="1"/>
  <c r="AJ107" i="1"/>
  <c r="AI107" i="1"/>
  <c r="AH107" i="1"/>
  <c r="AG107" i="1"/>
  <c r="AF107" i="1"/>
  <c r="AC107" i="1"/>
  <c r="AB107" i="1"/>
  <c r="AA107" i="1"/>
  <c r="Z107" i="1"/>
  <c r="Y107" i="1"/>
  <c r="X107" i="1"/>
  <c r="W107" i="1"/>
  <c r="V107" i="1"/>
  <c r="T107" i="1"/>
  <c r="S107" i="1"/>
  <c r="R107" i="1"/>
  <c r="Q107" i="1"/>
  <c r="O107" i="1"/>
  <c r="N107" i="1"/>
  <c r="M107" i="1"/>
  <c r="L107" i="1"/>
  <c r="K107" i="1"/>
  <c r="J107" i="1"/>
  <c r="H107" i="1"/>
  <c r="G107" i="1"/>
  <c r="CY109" i="1"/>
  <c r="CL109" i="1"/>
  <c r="CC109" i="1"/>
  <c r="BO109" i="1"/>
  <c r="BG109" i="1"/>
  <c r="BC109" i="1"/>
  <c r="AE109" i="1"/>
  <c r="U109" i="1"/>
  <c r="P109" i="1"/>
  <c r="I109" i="1"/>
  <c r="BN225" i="1" l="1"/>
  <c r="BN99" i="1"/>
  <c r="F109" i="1"/>
  <c r="BN153" i="1"/>
  <c r="BN53" i="1"/>
  <c r="BN286" i="1"/>
  <c r="BN118" i="1"/>
  <c r="BN162" i="1"/>
  <c r="BN215" i="1"/>
  <c r="BB109" i="1"/>
  <c r="CB109" i="1"/>
  <c r="CX109" i="1"/>
  <c r="BN175" i="1"/>
  <c r="BN289" i="1"/>
  <c r="BN209" i="1"/>
  <c r="BN93" i="1"/>
  <c r="BN106" i="1"/>
  <c r="BE107" i="1"/>
  <c r="BN96" i="1"/>
  <c r="BN42" i="1"/>
  <c r="BN10" i="1"/>
  <c r="BN56" i="1"/>
  <c r="BN79" i="1"/>
  <c r="BN139" i="1"/>
  <c r="BN61" i="1"/>
  <c r="CA109" i="1" l="1"/>
  <c r="E109" i="1"/>
  <c r="BN219" i="1"/>
  <c r="BN318" i="1" l="1"/>
  <c r="D109" i="1"/>
  <c r="BO30" i="1" l="1"/>
  <c r="G49" i="1"/>
  <c r="G40" i="1"/>
  <c r="U30" i="1"/>
  <c r="H13" i="1"/>
  <c r="CY263" i="1"/>
  <c r="CL263" i="1"/>
  <c r="BO263" i="1"/>
  <c r="BL263" i="1"/>
  <c r="BG263" i="1"/>
  <c r="BC263" i="1"/>
  <c r="CY207" i="1"/>
  <c r="CL207" i="1"/>
  <c r="CC207" i="1"/>
  <c r="BO207" i="1"/>
  <c r="BL207" i="1"/>
  <c r="BG207" i="1"/>
  <c r="BC207" i="1"/>
  <c r="AE207" i="1"/>
  <c r="U207" i="1"/>
  <c r="P207" i="1"/>
  <c r="I207" i="1"/>
  <c r="CY155" i="1"/>
  <c r="CL155" i="1"/>
  <c r="BO155" i="1"/>
  <c r="BL155" i="1"/>
  <c r="BG155" i="1"/>
  <c r="BC155" i="1"/>
  <c r="DA116" i="1"/>
  <c r="CZ116" i="1"/>
  <c r="CT116" i="1"/>
  <c r="CQ116" i="1"/>
  <c r="CO116" i="1"/>
  <c r="CM116" i="1"/>
  <c r="CJ116" i="1"/>
  <c r="CG116" i="1"/>
  <c r="CE116" i="1"/>
  <c r="CD116" i="1"/>
  <c r="BZ116" i="1"/>
  <c r="BY116" i="1"/>
  <c r="BX116" i="1"/>
  <c r="BW116" i="1"/>
  <c r="BV116" i="1"/>
  <c r="BU116" i="1"/>
  <c r="BT116" i="1"/>
  <c r="BS116" i="1"/>
  <c r="BR116" i="1"/>
  <c r="BQ116" i="1"/>
  <c r="BP116" i="1"/>
  <c r="BM116" i="1"/>
  <c r="BJ116" i="1"/>
  <c r="BI116" i="1"/>
  <c r="BH116" i="1"/>
  <c r="BF116" i="1"/>
  <c r="BE116" i="1"/>
  <c r="BD116" i="1"/>
  <c r="AY116" i="1"/>
  <c r="AX116" i="1"/>
  <c r="AW116" i="1"/>
  <c r="AV116" i="1"/>
  <c r="AU116" i="1"/>
  <c r="AT116" i="1"/>
  <c r="AS116" i="1"/>
  <c r="AR116" i="1"/>
  <c r="AP116" i="1"/>
  <c r="AO116" i="1"/>
  <c r="AN116" i="1"/>
  <c r="AM116" i="1"/>
  <c r="AL116" i="1"/>
  <c r="AK116" i="1"/>
  <c r="AJ116" i="1"/>
  <c r="AI116" i="1"/>
  <c r="AH116" i="1"/>
  <c r="AG116" i="1"/>
  <c r="AF116" i="1"/>
  <c r="AC116" i="1"/>
  <c r="AB116" i="1"/>
  <c r="AA116" i="1"/>
  <c r="Z116" i="1"/>
  <c r="Y116" i="1"/>
  <c r="X116" i="1"/>
  <c r="W116" i="1"/>
  <c r="V116" i="1"/>
  <c r="T116" i="1"/>
  <c r="S116" i="1"/>
  <c r="R116" i="1"/>
  <c r="Q116" i="1"/>
  <c r="O116" i="1"/>
  <c r="N116" i="1"/>
  <c r="M116" i="1"/>
  <c r="L116" i="1"/>
  <c r="K116" i="1"/>
  <c r="J116" i="1"/>
  <c r="H116" i="1"/>
  <c r="G116" i="1"/>
  <c r="DA110" i="1"/>
  <c r="CZ110" i="1"/>
  <c r="CT110" i="1"/>
  <c r="CQ110" i="1"/>
  <c r="CO110" i="1"/>
  <c r="CM110" i="1"/>
  <c r="CJ110" i="1"/>
  <c r="CG110" i="1"/>
  <c r="CE110" i="1"/>
  <c r="CD110" i="1"/>
  <c r="BZ110" i="1"/>
  <c r="BY110" i="1"/>
  <c r="BX110" i="1"/>
  <c r="BW110" i="1"/>
  <c r="BV110" i="1"/>
  <c r="BU110" i="1"/>
  <c r="BT110" i="1"/>
  <c r="BS110" i="1"/>
  <c r="BR110" i="1"/>
  <c r="BQ110" i="1"/>
  <c r="BP110" i="1"/>
  <c r="BM110" i="1"/>
  <c r="BJ110" i="1"/>
  <c r="BI110" i="1"/>
  <c r="BH110" i="1"/>
  <c r="BE110" i="1"/>
  <c r="BD110" i="1"/>
  <c r="BA110" i="1"/>
  <c r="AY110" i="1"/>
  <c r="AX110" i="1"/>
  <c r="AW110" i="1"/>
  <c r="AV110" i="1"/>
  <c r="AU110" i="1"/>
  <c r="AT110" i="1"/>
  <c r="AS110" i="1"/>
  <c r="AR110" i="1"/>
  <c r="AP110" i="1"/>
  <c r="AO110" i="1"/>
  <c r="AN110" i="1"/>
  <c r="AM110" i="1"/>
  <c r="AL110" i="1"/>
  <c r="AK110" i="1"/>
  <c r="AJ110" i="1"/>
  <c r="AI110" i="1"/>
  <c r="AH110" i="1"/>
  <c r="AG110" i="1"/>
  <c r="AF110" i="1"/>
  <c r="AC110" i="1"/>
  <c r="AB110" i="1"/>
  <c r="AA110" i="1"/>
  <c r="Z110" i="1"/>
  <c r="Y110" i="1"/>
  <c r="X110" i="1"/>
  <c r="W110" i="1"/>
  <c r="V110" i="1"/>
  <c r="T110" i="1"/>
  <c r="S110" i="1"/>
  <c r="R110" i="1"/>
  <c r="Q110" i="1"/>
  <c r="O110" i="1"/>
  <c r="N110" i="1"/>
  <c r="M110" i="1"/>
  <c r="L110" i="1"/>
  <c r="K110" i="1"/>
  <c r="J110" i="1"/>
  <c r="H110" i="1"/>
  <c r="G110" i="1"/>
  <c r="CY111" i="1"/>
  <c r="CL111" i="1"/>
  <c r="CC111" i="1"/>
  <c r="BO111" i="1"/>
  <c r="BL111" i="1"/>
  <c r="BG111" i="1"/>
  <c r="AE111" i="1"/>
  <c r="U111" i="1"/>
  <c r="P111" i="1"/>
  <c r="I111" i="1"/>
  <c r="CY317" i="1"/>
  <c r="CL317" i="1"/>
  <c r="CC317" i="1"/>
  <c r="BO317" i="1"/>
  <c r="BL317" i="1"/>
  <c r="BC317" i="1"/>
  <c r="AE317" i="1"/>
  <c r="U317" i="1"/>
  <c r="P317" i="1"/>
  <c r="I317" i="1"/>
  <c r="DA316" i="1"/>
  <c r="CZ316" i="1"/>
  <c r="CT316" i="1"/>
  <c r="CO316" i="1"/>
  <c r="CM316" i="1"/>
  <c r="CJ316" i="1"/>
  <c r="CG316" i="1"/>
  <c r="CE316" i="1"/>
  <c r="CD316" i="1"/>
  <c r="BZ316" i="1"/>
  <c r="BY316" i="1"/>
  <c r="BX316" i="1"/>
  <c r="BW316" i="1"/>
  <c r="BV316" i="1"/>
  <c r="BU316" i="1"/>
  <c r="BT316" i="1"/>
  <c r="BS316" i="1"/>
  <c r="BR316" i="1"/>
  <c r="BQ316" i="1"/>
  <c r="BP316" i="1"/>
  <c r="BM316" i="1"/>
  <c r="BJ316" i="1"/>
  <c r="BI316" i="1"/>
  <c r="BH316" i="1"/>
  <c r="BF316" i="1"/>
  <c r="BE316" i="1"/>
  <c r="BD316" i="1"/>
  <c r="BA316" i="1"/>
  <c r="AY316" i="1"/>
  <c r="AX316" i="1"/>
  <c r="AW316" i="1"/>
  <c r="AV316" i="1"/>
  <c r="AU316" i="1"/>
  <c r="AT316" i="1"/>
  <c r="AS316" i="1"/>
  <c r="AR316" i="1"/>
  <c r="AP316" i="1"/>
  <c r="AO316" i="1"/>
  <c r="AN316" i="1"/>
  <c r="AM316" i="1"/>
  <c r="AL316" i="1"/>
  <c r="AK316" i="1"/>
  <c r="AJ316" i="1"/>
  <c r="AI316" i="1"/>
  <c r="AH316" i="1"/>
  <c r="AG316" i="1"/>
  <c r="AF316" i="1"/>
  <c r="AC316" i="1"/>
  <c r="AB316" i="1"/>
  <c r="AA316" i="1"/>
  <c r="Z316" i="1"/>
  <c r="Y316" i="1"/>
  <c r="X316" i="1"/>
  <c r="W316" i="1"/>
  <c r="V316" i="1"/>
  <c r="T316" i="1"/>
  <c r="S316" i="1"/>
  <c r="R316" i="1"/>
  <c r="Q316" i="1"/>
  <c r="O316" i="1"/>
  <c r="N316" i="1"/>
  <c r="M316" i="1"/>
  <c r="L316" i="1"/>
  <c r="K316" i="1"/>
  <c r="J316" i="1"/>
  <c r="H316" i="1"/>
  <c r="G316" i="1"/>
  <c r="CY315" i="1"/>
  <c r="CL315" i="1"/>
  <c r="CC315" i="1"/>
  <c r="BO315" i="1"/>
  <c r="BL315" i="1"/>
  <c r="BG315" i="1"/>
  <c r="BC315" i="1"/>
  <c r="AE315" i="1"/>
  <c r="U315" i="1"/>
  <c r="P315" i="1"/>
  <c r="I315" i="1"/>
  <c r="DA314" i="1"/>
  <c r="CZ314" i="1"/>
  <c r="CT314" i="1"/>
  <c r="CO314" i="1"/>
  <c r="CM314" i="1"/>
  <c r="CJ314" i="1"/>
  <c r="CG314" i="1"/>
  <c r="CE314" i="1"/>
  <c r="CD314" i="1"/>
  <c r="BZ314" i="1"/>
  <c r="BY314" i="1"/>
  <c r="BX314" i="1"/>
  <c r="BW314" i="1"/>
  <c r="BV314" i="1"/>
  <c r="BU314" i="1"/>
  <c r="BT314" i="1"/>
  <c r="BS314" i="1"/>
  <c r="BR314" i="1"/>
  <c r="BQ314" i="1"/>
  <c r="BP314" i="1"/>
  <c r="BM314" i="1"/>
  <c r="BJ314" i="1"/>
  <c r="BI314" i="1"/>
  <c r="BH314" i="1"/>
  <c r="BF314" i="1"/>
  <c r="BE314" i="1"/>
  <c r="BD314" i="1"/>
  <c r="BA314" i="1"/>
  <c r="AY314" i="1"/>
  <c r="AX314" i="1"/>
  <c r="AW314" i="1"/>
  <c r="AV314" i="1"/>
  <c r="AU314" i="1"/>
  <c r="AT314" i="1"/>
  <c r="AS314" i="1"/>
  <c r="AR314" i="1"/>
  <c r="AP314" i="1"/>
  <c r="AO314" i="1"/>
  <c r="AN314" i="1"/>
  <c r="AM314" i="1"/>
  <c r="AL314" i="1"/>
  <c r="AK314" i="1"/>
  <c r="AJ314" i="1"/>
  <c r="AI314" i="1"/>
  <c r="AH314" i="1"/>
  <c r="AG314" i="1"/>
  <c r="AF314" i="1"/>
  <c r="AC314" i="1"/>
  <c r="AB314" i="1"/>
  <c r="AA314" i="1"/>
  <c r="Z314" i="1"/>
  <c r="Y314" i="1"/>
  <c r="X314" i="1"/>
  <c r="W314" i="1"/>
  <c r="V314" i="1"/>
  <c r="T314" i="1"/>
  <c r="S314" i="1"/>
  <c r="R314" i="1"/>
  <c r="Q314" i="1"/>
  <c r="O314" i="1"/>
  <c r="N314" i="1"/>
  <c r="M314" i="1"/>
  <c r="L314" i="1"/>
  <c r="K314" i="1"/>
  <c r="J314" i="1"/>
  <c r="H314" i="1"/>
  <c r="G314" i="1"/>
  <c r="CY313" i="1"/>
  <c r="CL313" i="1"/>
  <c r="CC313" i="1"/>
  <c r="BO313" i="1"/>
  <c r="BL313" i="1"/>
  <c r="BG313" i="1"/>
  <c r="BC313" i="1"/>
  <c r="AE313" i="1"/>
  <c r="U313" i="1"/>
  <c r="P313" i="1"/>
  <c r="I313" i="1"/>
  <c r="DA312" i="1"/>
  <c r="CZ312" i="1"/>
  <c r="CT312" i="1"/>
  <c r="CO312" i="1"/>
  <c r="CM312" i="1"/>
  <c r="CJ312" i="1"/>
  <c r="CG312" i="1"/>
  <c r="CE312" i="1"/>
  <c r="CD312" i="1"/>
  <c r="BZ312" i="1"/>
  <c r="BY312" i="1"/>
  <c r="BX312" i="1"/>
  <c r="BW312" i="1"/>
  <c r="BV312" i="1"/>
  <c r="BU312" i="1"/>
  <c r="BT312" i="1"/>
  <c r="BS312" i="1"/>
  <c r="BR312" i="1"/>
  <c r="BQ312" i="1"/>
  <c r="BP312" i="1"/>
  <c r="BM312" i="1"/>
  <c r="BJ312" i="1"/>
  <c r="BI312" i="1"/>
  <c r="BH312" i="1"/>
  <c r="BF312" i="1"/>
  <c r="BE312" i="1"/>
  <c r="BD312" i="1"/>
  <c r="BA312" i="1"/>
  <c r="AY312" i="1"/>
  <c r="AX312" i="1"/>
  <c r="AW312" i="1"/>
  <c r="AV312" i="1"/>
  <c r="AU312" i="1"/>
  <c r="AT312" i="1"/>
  <c r="AS312" i="1"/>
  <c r="AR312" i="1"/>
  <c r="AP312" i="1"/>
  <c r="AO312" i="1"/>
  <c r="AN312" i="1"/>
  <c r="AM312" i="1"/>
  <c r="AL312" i="1"/>
  <c r="AK312" i="1"/>
  <c r="AJ312" i="1"/>
  <c r="AI312" i="1"/>
  <c r="AH312" i="1"/>
  <c r="AG312" i="1"/>
  <c r="AF312" i="1"/>
  <c r="AC312" i="1"/>
  <c r="AB312" i="1"/>
  <c r="AA312" i="1"/>
  <c r="Z312" i="1"/>
  <c r="Y312" i="1"/>
  <c r="X312" i="1"/>
  <c r="W312" i="1"/>
  <c r="V312" i="1"/>
  <c r="T312" i="1"/>
  <c r="S312" i="1"/>
  <c r="R312" i="1"/>
  <c r="Q312" i="1"/>
  <c r="O312" i="1"/>
  <c r="N312" i="1"/>
  <c r="M312" i="1"/>
  <c r="L312" i="1"/>
  <c r="K312" i="1"/>
  <c r="J312" i="1"/>
  <c r="H312" i="1"/>
  <c r="G312" i="1"/>
  <c r="CY311" i="1"/>
  <c r="CL311" i="1"/>
  <c r="CC311" i="1"/>
  <c r="BO311" i="1"/>
  <c r="BL311" i="1"/>
  <c r="BG311" i="1"/>
  <c r="BC311" i="1"/>
  <c r="AE311" i="1"/>
  <c r="U311" i="1"/>
  <c r="P311" i="1"/>
  <c r="I311" i="1"/>
  <c r="DA310" i="1"/>
  <c r="CZ310" i="1"/>
  <c r="CT310" i="1"/>
  <c r="CO310" i="1"/>
  <c r="CM310" i="1"/>
  <c r="CJ310" i="1"/>
  <c r="CG310" i="1"/>
  <c r="CE310" i="1"/>
  <c r="CD310" i="1"/>
  <c r="BZ310" i="1"/>
  <c r="BY310" i="1"/>
  <c r="BX310" i="1"/>
  <c r="BW310" i="1"/>
  <c r="BV310" i="1"/>
  <c r="BU310" i="1"/>
  <c r="BT310" i="1"/>
  <c r="BS310" i="1"/>
  <c r="BR310" i="1"/>
  <c r="BQ310" i="1"/>
  <c r="BP310" i="1"/>
  <c r="BM310" i="1"/>
  <c r="BJ310" i="1"/>
  <c r="BI310" i="1"/>
  <c r="BH310" i="1"/>
  <c r="BF310" i="1"/>
  <c r="BE310" i="1"/>
  <c r="BD310" i="1"/>
  <c r="BA310" i="1"/>
  <c r="AY310" i="1"/>
  <c r="AX310" i="1"/>
  <c r="AW310" i="1"/>
  <c r="AV310" i="1"/>
  <c r="AU310" i="1"/>
  <c r="AT310" i="1"/>
  <c r="AS310" i="1"/>
  <c r="AR310" i="1"/>
  <c r="AP310" i="1"/>
  <c r="AO310" i="1"/>
  <c r="AN310" i="1"/>
  <c r="AM310" i="1"/>
  <c r="AL310" i="1"/>
  <c r="AK310" i="1"/>
  <c r="AJ310" i="1"/>
  <c r="AI310" i="1"/>
  <c r="AH310" i="1"/>
  <c r="AG310" i="1"/>
  <c r="AF310" i="1"/>
  <c r="AC310" i="1"/>
  <c r="AB310" i="1"/>
  <c r="AA310" i="1"/>
  <c r="Z310" i="1"/>
  <c r="Y310" i="1"/>
  <c r="X310" i="1"/>
  <c r="W310" i="1"/>
  <c r="V310" i="1"/>
  <c r="T310" i="1"/>
  <c r="S310" i="1"/>
  <c r="R310" i="1"/>
  <c r="Q310" i="1"/>
  <c r="O310" i="1"/>
  <c r="N310" i="1"/>
  <c r="M310" i="1"/>
  <c r="L310" i="1"/>
  <c r="K310" i="1"/>
  <c r="J310" i="1"/>
  <c r="H310" i="1"/>
  <c r="G310" i="1"/>
  <c r="CY309" i="1"/>
  <c r="CL309" i="1"/>
  <c r="BO309" i="1"/>
  <c r="BL309" i="1"/>
  <c r="BG309" i="1"/>
  <c r="BC309" i="1"/>
  <c r="BA308" i="1"/>
  <c r="U309" i="1"/>
  <c r="P309" i="1"/>
  <c r="O308" i="1"/>
  <c r="N308" i="1"/>
  <c r="J309" i="1"/>
  <c r="CO308" i="1"/>
  <c r="CM308" i="1"/>
  <c r="CG308" i="1"/>
  <c r="CD308" i="1"/>
  <c r="BZ308" i="1"/>
  <c r="BY308" i="1"/>
  <c r="BX308" i="1"/>
  <c r="BW308" i="1"/>
  <c r="BV308" i="1"/>
  <c r="BU308" i="1"/>
  <c r="BT308" i="1"/>
  <c r="BS308" i="1"/>
  <c r="BR308" i="1"/>
  <c r="BQ308" i="1"/>
  <c r="BP308" i="1"/>
  <c r="BM308" i="1"/>
  <c r="BJ308" i="1"/>
  <c r="BI308" i="1"/>
  <c r="BH308" i="1"/>
  <c r="BF308" i="1"/>
  <c r="BE308" i="1"/>
  <c r="BD308" i="1"/>
  <c r="AY308" i="1"/>
  <c r="AX308" i="1"/>
  <c r="AV308" i="1"/>
  <c r="AU308" i="1"/>
  <c r="AT308" i="1"/>
  <c r="AS308" i="1"/>
  <c r="AR308" i="1"/>
  <c r="AP308" i="1"/>
  <c r="AO308" i="1"/>
  <c r="AN308" i="1"/>
  <c r="AM308" i="1"/>
  <c r="AL308" i="1"/>
  <c r="AK308" i="1"/>
  <c r="AJ308" i="1"/>
  <c r="AI308" i="1"/>
  <c r="AH308" i="1"/>
  <c r="AG308" i="1"/>
  <c r="AF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M308" i="1"/>
  <c r="L308" i="1"/>
  <c r="K308" i="1"/>
  <c r="H308" i="1"/>
  <c r="G308" i="1"/>
  <c r="CY306" i="1"/>
  <c r="CL306" i="1"/>
  <c r="CC306" i="1"/>
  <c r="BO306" i="1"/>
  <c r="BL306" i="1"/>
  <c r="BG306" i="1"/>
  <c r="BC306" i="1"/>
  <c r="AE306" i="1"/>
  <c r="U306" i="1"/>
  <c r="P306" i="1"/>
  <c r="I306" i="1"/>
  <c r="CY304" i="1"/>
  <c r="CL304" i="1"/>
  <c r="CC304" i="1"/>
  <c r="BO304" i="1"/>
  <c r="BL304" i="1"/>
  <c r="BC304" i="1"/>
  <c r="AE304" i="1"/>
  <c r="U304" i="1"/>
  <c r="P304" i="1"/>
  <c r="I304" i="1"/>
  <c r="DA303" i="1"/>
  <c r="CZ303" i="1"/>
  <c r="CT303" i="1"/>
  <c r="CO303" i="1"/>
  <c r="CM303" i="1"/>
  <c r="CJ303" i="1"/>
  <c r="CG303" i="1"/>
  <c r="CE303" i="1"/>
  <c r="CD303" i="1"/>
  <c r="BZ303" i="1"/>
  <c r="BY303" i="1"/>
  <c r="BX303" i="1"/>
  <c r="BW303" i="1"/>
  <c r="BV303" i="1"/>
  <c r="BU303" i="1"/>
  <c r="BT303" i="1"/>
  <c r="BS303" i="1"/>
  <c r="BR303" i="1"/>
  <c r="BQ303" i="1"/>
  <c r="BP303" i="1"/>
  <c r="BM303" i="1"/>
  <c r="BJ303" i="1"/>
  <c r="BH303" i="1"/>
  <c r="BF303" i="1"/>
  <c r="BE303" i="1"/>
  <c r="BD303" i="1"/>
  <c r="BA303" i="1"/>
  <c r="AY303" i="1"/>
  <c r="AX303" i="1"/>
  <c r="AW303" i="1"/>
  <c r="AV303" i="1"/>
  <c r="AU303" i="1"/>
  <c r="AT303" i="1"/>
  <c r="AS303" i="1"/>
  <c r="AR303" i="1"/>
  <c r="AP303" i="1"/>
  <c r="AO303" i="1"/>
  <c r="AN303" i="1"/>
  <c r="AM303" i="1"/>
  <c r="AL303" i="1"/>
  <c r="AK303" i="1"/>
  <c r="AJ303" i="1"/>
  <c r="AI303" i="1"/>
  <c r="AH303" i="1"/>
  <c r="AG303" i="1"/>
  <c r="AF303" i="1"/>
  <c r="AC303" i="1"/>
  <c r="AB303" i="1"/>
  <c r="AA303" i="1"/>
  <c r="Z303" i="1"/>
  <c r="Y303" i="1"/>
  <c r="X303" i="1"/>
  <c r="W303" i="1"/>
  <c r="V303" i="1"/>
  <c r="T303" i="1"/>
  <c r="S303" i="1"/>
  <c r="R303" i="1"/>
  <c r="Q303" i="1"/>
  <c r="O303" i="1"/>
  <c r="N303" i="1"/>
  <c r="M303" i="1"/>
  <c r="L303" i="1"/>
  <c r="K303" i="1"/>
  <c r="J303" i="1"/>
  <c r="H303" i="1"/>
  <c r="G303" i="1"/>
  <c r="CY301" i="1"/>
  <c r="CL301" i="1"/>
  <c r="CC301" i="1"/>
  <c r="BO301" i="1"/>
  <c r="BL301" i="1"/>
  <c r="BG301" i="1"/>
  <c r="BC301" i="1"/>
  <c r="U301" i="1"/>
  <c r="P301" i="1"/>
  <c r="I301" i="1"/>
  <c r="CY288" i="1"/>
  <c r="CL288" i="1"/>
  <c r="CC288" i="1"/>
  <c r="BO288" i="1"/>
  <c r="BL288" i="1"/>
  <c r="BG288" i="1"/>
  <c r="BC288" i="1"/>
  <c r="AE288" i="1"/>
  <c r="U288" i="1"/>
  <c r="P288" i="1"/>
  <c r="I288" i="1"/>
  <c r="DA287" i="1"/>
  <c r="CZ287" i="1"/>
  <c r="CT287" i="1"/>
  <c r="CO287" i="1"/>
  <c r="CM287" i="1"/>
  <c r="CJ287" i="1"/>
  <c r="CG287" i="1"/>
  <c r="CE287" i="1"/>
  <c r="CD287" i="1"/>
  <c r="BZ287" i="1"/>
  <c r="BY287" i="1"/>
  <c r="BX287" i="1"/>
  <c r="BW287" i="1"/>
  <c r="BV287" i="1"/>
  <c r="BU287" i="1"/>
  <c r="BT287" i="1"/>
  <c r="BS287" i="1"/>
  <c r="BR287" i="1"/>
  <c r="BQ287" i="1"/>
  <c r="BP287" i="1"/>
  <c r="BM287" i="1"/>
  <c r="BJ287" i="1"/>
  <c r="BI287" i="1"/>
  <c r="BH287" i="1"/>
  <c r="BF287" i="1"/>
  <c r="BE287" i="1"/>
  <c r="BD287" i="1"/>
  <c r="BA287" i="1"/>
  <c r="AY287" i="1"/>
  <c r="AX287" i="1"/>
  <c r="AW287" i="1"/>
  <c r="AV287" i="1"/>
  <c r="AU287" i="1"/>
  <c r="AT287" i="1"/>
  <c r="AS287" i="1"/>
  <c r="AR287" i="1"/>
  <c r="AP287" i="1"/>
  <c r="AO287" i="1"/>
  <c r="AN287" i="1"/>
  <c r="AM287" i="1"/>
  <c r="AL287" i="1"/>
  <c r="AK287" i="1"/>
  <c r="AJ287" i="1"/>
  <c r="AI287" i="1"/>
  <c r="AH287" i="1"/>
  <c r="AG287" i="1"/>
  <c r="AF287" i="1"/>
  <c r="AC287" i="1"/>
  <c r="AB287" i="1"/>
  <c r="AA287" i="1"/>
  <c r="Z287" i="1"/>
  <c r="Y287" i="1"/>
  <c r="X287" i="1"/>
  <c r="W287" i="1"/>
  <c r="V287" i="1"/>
  <c r="T287" i="1"/>
  <c r="S287" i="1"/>
  <c r="R287" i="1"/>
  <c r="Q287" i="1"/>
  <c r="O287" i="1"/>
  <c r="N287" i="1"/>
  <c r="M287" i="1"/>
  <c r="L287" i="1"/>
  <c r="K287" i="1"/>
  <c r="J287" i="1"/>
  <c r="H287" i="1"/>
  <c r="G287" i="1"/>
  <c r="CY285" i="1"/>
  <c r="CL285" i="1"/>
  <c r="CC285" i="1"/>
  <c r="BO285" i="1"/>
  <c r="BL285" i="1"/>
  <c r="BG285" i="1"/>
  <c r="BC285" i="1"/>
  <c r="AE285" i="1"/>
  <c r="U285" i="1"/>
  <c r="P285" i="1"/>
  <c r="I285" i="1"/>
  <c r="DA284" i="1"/>
  <c r="CZ284" i="1"/>
  <c r="CT284" i="1"/>
  <c r="CO284" i="1"/>
  <c r="CM284" i="1"/>
  <c r="CJ284" i="1"/>
  <c r="CG284" i="1"/>
  <c r="CE284" i="1"/>
  <c r="CD284" i="1"/>
  <c r="BZ284" i="1"/>
  <c r="BY284" i="1"/>
  <c r="BX284" i="1"/>
  <c r="BW284" i="1"/>
  <c r="BV284" i="1"/>
  <c r="BU284" i="1"/>
  <c r="BT284" i="1"/>
  <c r="BS284" i="1"/>
  <c r="BR284" i="1"/>
  <c r="BQ284" i="1"/>
  <c r="BP284" i="1"/>
  <c r="BM284" i="1"/>
  <c r="BJ284" i="1"/>
  <c r="BI284" i="1"/>
  <c r="BH284" i="1"/>
  <c r="BF284" i="1"/>
  <c r="BE284" i="1"/>
  <c r="BD284" i="1"/>
  <c r="BA284" i="1"/>
  <c r="AY284" i="1"/>
  <c r="AX284" i="1"/>
  <c r="AW284" i="1"/>
  <c r="AV284" i="1"/>
  <c r="AU284" i="1"/>
  <c r="AT284" i="1"/>
  <c r="AS284" i="1"/>
  <c r="AR284" i="1"/>
  <c r="AP284" i="1"/>
  <c r="AO284" i="1"/>
  <c r="AN284" i="1"/>
  <c r="AM284" i="1"/>
  <c r="AL284" i="1"/>
  <c r="AK284" i="1"/>
  <c r="AJ284" i="1"/>
  <c r="AI284" i="1"/>
  <c r="AH284" i="1"/>
  <c r="AG284" i="1"/>
  <c r="AF284" i="1"/>
  <c r="AC284" i="1"/>
  <c r="AB284" i="1"/>
  <c r="AA284" i="1"/>
  <c r="Z284" i="1"/>
  <c r="Y284" i="1"/>
  <c r="X284" i="1"/>
  <c r="W284" i="1"/>
  <c r="V284" i="1"/>
  <c r="T284" i="1"/>
  <c r="S284" i="1"/>
  <c r="R284" i="1"/>
  <c r="Q284" i="1"/>
  <c r="O284" i="1"/>
  <c r="N284" i="1"/>
  <c r="M284" i="1"/>
  <c r="L284" i="1"/>
  <c r="K284" i="1"/>
  <c r="J284" i="1"/>
  <c r="H284" i="1"/>
  <c r="G284" i="1"/>
  <c r="CY283" i="1"/>
  <c r="CL283" i="1"/>
  <c r="CC283" i="1"/>
  <c r="BO283" i="1"/>
  <c r="BL283" i="1"/>
  <c r="BG283" i="1"/>
  <c r="BC283" i="1"/>
  <c r="AE283" i="1"/>
  <c r="U283" i="1"/>
  <c r="P283" i="1"/>
  <c r="I283" i="1"/>
  <c r="DA282" i="1"/>
  <c r="CZ282" i="1"/>
  <c r="CT282" i="1"/>
  <c r="CO282" i="1"/>
  <c r="CM282" i="1"/>
  <c r="CJ282" i="1"/>
  <c r="CG282" i="1"/>
  <c r="CE282" i="1"/>
  <c r="CD282" i="1"/>
  <c r="BZ282" i="1"/>
  <c r="BY282" i="1"/>
  <c r="BX282" i="1"/>
  <c r="BW282" i="1"/>
  <c r="BV282" i="1"/>
  <c r="BU282" i="1"/>
  <c r="BT282" i="1"/>
  <c r="BS282" i="1"/>
  <c r="BR282" i="1"/>
  <c r="BQ282" i="1"/>
  <c r="BP282" i="1"/>
  <c r="BM282" i="1"/>
  <c r="BJ282" i="1"/>
  <c r="BI282" i="1"/>
  <c r="BH282" i="1"/>
  <c r="BF282" i="1"/>
  <c r="BE282" i="1"/>
  <c r="BD282" i="1"/>
  <c r="BA282" i="1"/>
  <c r="AY282" i="1"/>
  <c r="AX282" i="1"/>
  <c r="AW282" i="1"/>
  <c r="AV282" i="1"/>
  <c r="AU282" i="1"/>
  <c r="AT282" i="1"/>
  <c r="AS282" i="1"/>
  <c r="AR282" i="1"/>
  <c r="AP282" i="1"/>
  <c r="AO282" i="1"/>
  <c r="AN282" i="1"/>
  <c r="AM282" i="1"/>
  <c r="AL282" i="1"/>
  <c r="AK282" i="1"/>
  <c r="AJ282" i="1"/>
  <c r="AI282" i="1"/>
  <c r="AH282" i="1"/>
  <c r="AG282" i="1"/>
  <c r="AF282" i="1"/>
  <c r="AC282" i="1"/>
  <c r="AB282" i="1"/>
  <c r="AA282" i="1"/>
  <c r="Z282" i="1"/>
  <c r="Y282" i="1"/>
  <c r="X282" i="1"/>
  <c r="W282" i="1"/>
  <c r="V282" i="1"/>
  <c r="T282" i="1"/>
  <c r="S282" i="1"/>
  <c r="R282" i="1"/>
  <c r="Q282" i="1"/>
  <c r="O282" i="1"/>
  <c r="N282" i="1"/>
  <c r="M282" i="1"/>
  <c r="L282" i="1"/>
  <c r="K282" i="1"/>
  <c r="J282" i="1"/>
  <c r="H282" i="1"/>
  <c r="G282" i="1"/>
  <c r="CY281" i="1"/>
  <c r="CL281" i="1"/>
  <c r="CC281" i="1"/>
  <c r="BO281" i="1"/>
  <c r="BL281" i="1"/>
  <c r="BG281" i="1"/>
  <c r="BC281" i="1"/>
  <c r="AE281" i="1"/>
  <c r="U281" i="1"/>
  <c r="P281" i="1"/>
  <c r="I281" i="1"/>
  <c r="CY277" i="1"/>
  <c r="CL277" i="1"/>
  <c r="CC277" i="1"/>
  <c r="BO277" i="1"/>
  <c r="BL277" i="1"/>
  <c r="BG277" i="1"/>
  <c r="BC277" i="1"/>
  <c r="AE277" i="1"/>
  <c r="U277" i="1"/>
  <c r="P277" i="1"/>
  <c r="I277" i="1"/>
  <c r="CY276" i="1"/>
  <c r="CL276" i="1"/>
  <c r="CC276" i="1"/>
  <c r="BO276" i="1"/>
  <c r="BL276" i="1"/>
  <c r="BG276" i="1"/>
  <c r="BC276" i="1"/>
  <c r="AE276" i="1"/>
  <c r="U276" i="1"/>
  <c r="P276" i="1"/>
  <c r="I276" i="1"/>
  <c r="CY275" i="1"/>
  <c r="CL275" i="1"/>
  <c r="CC275" i="1"/>
  <c r="BO275" i="1"/>
  <c r="BL275" i="1"/>
  <c r="BG275" i="1"/>
  <c r="BC275" i="1"/>
  <c r="AE275" i="1"/>
  <c r="U275" i="1"/>
  <c r="P275" i="1"/>
  <c r="I275" i="1"/>
  <c r="CY274" i="1"/>
  <c r="CL274" i="1"/>
  <c r="CC274" i="1"/>
  <c r="BO274" i="1"/>
  <c r="BL274" i="1"/>
  <c r="BG274" i="1"/>
  <c r="BC274" i="1"/>
  <c r="AE274" i="1"/>
  <c r="U274" i="1"/>
  <c r="P274" i="1"/>
  <c r="I274" i="1"/>
  <c r="CY273" i="1"/>
  <c r="CL273" i="1"/>
  <c r="CC273" i="1"/>
  <c r="BO273" i="1"/>
  <c r="BL273" i="1"/>
  <c r="BG273" i="1"/>
  <c r="BC273" i="1"/>
  <c r="AE273" i="1"/>
  <c r="U273" i="1"/>
  <c r="P273" i="1"/>
  <c r="I273" i="1"/>
  <c r="CY272" i="1"/>
  <c r="CL272" i="1"/>
  <c r="CC272" i="1"/>
  <c r="BO272" i="1"/>
  <c r="BL272" i="1"/>
  <c r="BG272" i="1"/>
  <c r="BC272" i="1"/>
  <c r="AE272" i="1"/>
  <c r="U272" i="1"/>
  <c r="P272" i="1"/>
  <c r="I272" i="1"/>
  <c r="CY270" i="1"/>
  <c r="CL270" i="1"/>
  <c r="CC270" i="1"/>
  <c r="BO270" i="1"/>
  <c r="BL270" i="1"/>
  <c r="BG270" i="1"/>
  <c r="BC270" i="1"/>
  <c r="AE270" i="1"/>
  <c r="U270" i="1"/>
  <c r="P270" i="1"/>
  <c r="I270" i="1"/>
  <c r="CY269" i="1"/>
  <c r="CL269" i="1"/>
  <c r="CC269" i="1"/>
  <c r="BO269" i="1"/>
  <c r="BL269" i="1"/>
  <c r="BG269" i="1"/>
  <c r="BC269" i="1"/>
  <c r="AE269" i="1"/>
  <c r="U269" i="1"/>
  <c r="P269" i="1"/>
  <c r="I269" i="1"/>
  <c r="DA265" i="1"/>
  <c r="CZ265" i="1"/>
  <c r="CT265" i="1"/>
  <c r="CO265" i="1"/>
  <c r="CM265" i="1"/>
  <c r="CJ265" i="1"/>
  <c r="CG265" i="1"/>
  <c r="CE265" i="1"/>
  <c r="CD265" i="1"/>
  <c r="BZ265" i="1"/>
  <c r="BY265" i="1"/>
  <c r="BX265" i="1"/>
  <c r="BW265" i="1"/>
  <c r="BV265" i="1"/>
  <c r="BU265" i="1"/>
  <c r="BT265" i="1"/>
  <c r="BS265" i="1"/>
  <c r="BR265" i="1"/>
  <c r="BQ265" i="1"/>
  <c r="BP265" i="1"/>
  <c r="BM265" i="1"/>
  <c r="BJ265" i="1"/>
  <c r="BI265" i="1"/>
  <c r="BH265" i="1"/>
  <c r="BF265" i="1"/>
  <c r="BE265" i="1"/>
  <c r="BD265" i="1"/>
  <c r="BA265" i="1"/>
  <c r="AY265" i="1"/>
  <c r="AX265" i="1"/>
  <c r="AW265" i="1"/>
  <c r="AV265" i="1"/>
  <c r="AU265" i="1"/>
  <c r="AT265" i="1"/>
  <c r="AS265" i="1"/>
  <c r="AR265" i="1"/>
  <c r="AP265" i="1"/>
  <c r="AO265" i="1"/>
  <c r="AN265" i="1"/>
  <c r="AM265" i="1"/>
  <c r="AL265" i="1"/>
  <c r="AK265" i="1"/>
  <c r="AJ265" i="1"/>
  <c r="AI265" i="1"/>
  <c r="AH265" i="1"/>
  <c r="AG265" i="1"/>
  <c r="AF265" i="1"/>
  <c r="AC265" i="1"/>
  <c r="AB265" i="1"/>
  <c r="AA265" i="1"/>
  <c r="Z265" i="1"/>
  <c r="Y265" i="1"/>
  <c r="X265" i="1"/>
  <c r="W265" i="1"/>
  <c r="V265" i="1"/>
  <c r="T265" i="1"/>
  <c r="S265" i="1"/>
  <c r="R265" i="1"/>
  <c r="Q265" i="1"/>
  <c r="O265" i="1"/>
  <c r="N265" i="1"/>
  <c r="M265" i="1"/>
  <c r="L265" i="1"/>
  <c r="K265" i="1"/>
  <c r="J265" i="1"/>
  <c r="H265" i="1"/>
  <c r="G265" i="1"/>
  <c r="CY264" i="1"/>
  <c r="CL264" i="1"/>
  <c r="BO264" i="1"/>
  <c r="BL264" i="1"/>
  <c r="BG264" i="1"/>
  <c r="BC264" i="1"/>
  <c r="P264" i="1"/>
  <c r="CY262" i="1"/>
  <c r="CL262" i="1"/>
  <c r="CC262" i="1"/>
  <c r="BO262" i="1"/>
  <c r="BL262" i="1"/>
  <c r="BG262" i="1"/>
  <c r="BC262" i="1"/>
  <c r="AE262" i="1"/>
  <c r="U262" i="1"/>
  <c r="P262" i="1"/>
  <c r="I262" i="1"/>
  <c r="CY261" i="1"/>
  <c r="CL261" i="1"/>
  <c r="CC261" i="1"/>
  <c r="BO261" i="1"/>
  <c r="BL261" i="1"/>
  <c r="BG261" i="1"/>
  <c r="BC261" i="1"/>
  <c r="AE261" i="1"/>
  <c r="U261" i="1"/>
  <c r="P261" i="1"/>
  <c r="I261" i="1"/>
  <c r="CY260" i="1"/>
  <c r="CL260" i="1"/>
  <c r="CC260" i="1"/>
  <c r="BO260" i="1"/>
  <c r="BL260" i="1"/>
  <c r="BG260" i="1"/>
  <c r="BC260" i="1"/>
  <c r="AE260" i="1"/>
  <c r="U260" i="1"/>
  <c r="P260" i="1"/>
  <c r="I260" i="1"/>
  <c r="CY259" i="1"/>
  <c r="CL259" i="1"/>
  <c r="CC259" i="1"/>
  <c r="BO259" i="1"/>
  <c r="BL259" i="1"/>
  <c r="BG259" i="1"/>
  <c r="BC259" i="1"/>
  <c r="AE259" i="1"/>
  <c r="U259" i="1"/>
  <c r="P259" i="1"/>
  <c r="I259" i="1"/>
  <c r="CY258" i="1"/>
  <c r="CL258" i="1"/>
  <c r="CC258" i="1"/>
  <c r="BO258" i="1"/>
  <c r="BL258" i="1"/>
  <c r="BG258" i="1"/>
  <c r="BC258" i="1"/>
  <c r="AE258" i="1"/>
  <c r="U258" i="1"/>
  <c r="P258" i="1"/>
  <c r="I258" i="1"/>
  <c r="CY257" i="1"/>
  <c r="CL257" i="1"/>
  <c r="CC257" i="1"/>
  <c r="BO257" i="1"/>
  <c r="BL257" i="1"/>
  <c r="BG257" i="1"/>
  <c r="BC257" i="1"/>
  <c r="AE257" i="1"/>
  <c r="U257" i="1"/>
  <c r="P257" i="1"/>
  <c r="I257" i="1"/>
  <c r="CY256" i="1"/>
  <c r="CL256" i="1"/>
  <c r="CC256" i="1"/>
  <c r="BO256" i="1"/>
  <c r="BL256" i="1"/>
  <c r="BG256" i="1"/>
  <c r="BC256" i="1"/>
  <c r="AE256" i="1"/>
  <c r="U256" i="1"/>
  <c r="P256" i="1"/>
  <c r="I256" i="1"/>
  <c r="CY255" i="1"/>
  <c r="CL255" i="1"/>
  <c r="CC255" i="1"/>
  <c r="BO255" i="1"/>
  <c r="BL255" i="1"/>
  <c r="BG255" i="1"/>
  <c r="BC255" i="1"/>
  <c r="AE255" i="1"/>
  <c r="U255" i="1"/>
  <c r="P255" i="1"/>
  <c r="I255" i="1"/>
  <c r="CY254" i="1"/>
  <c r="CL254" i="1"/>
  <c r="CC254" i="1"/>
  <c r="BO254" i="1"/>
  <c r="BL254" i="1"/>
  <c r="BG254" i="1"/>
  <c r="BC254" i="1"/>
  <c r="AE254" i="1"/>
  <c r="U254" i="1"/>
  <c r="P254" i="1"/>
  <c r="I254" i="1"/>
  <c r="CY253" i="1"/>
  <c r="CL253" i="1"/>
  <c r="CC253" i="1"/>
  <c r="BO253" i="1"/>
  <c r="BL253" i="1"/>
  <c r="BG253" i="1"/>
  <c r="BC253" i="1"/>
  <c r="AE253" i="1"/>
  <c r="U253" i="1"/>
  <c r="P253" i="1"/>
  <c r="I253" i="1"/>
  <c r="CY252" i="1"/>
  <c r="CL252" i="1"/>
  <c r="CC252" i="1"/>
  <c r="BO252" i="1"/>
  <c r="BL252" i="1"/>
  <c r="BG252" i="1"/>
  <c r="BC252" i="1"/>
  <c r="AE252" i="1"/>
  <c r="U252" i="1"/>
  <c r="P252" i="1"/>
  <c r="I252" i="1"/>
  <c r="CY251" i="1"/>
  <c r="CL251" i="1"/>
  <c r="CC251" i="1"/>
  <c r="BO251" i="1"/>
  <c r="BL251" i="1"/>
  <c r="BG251" i="1"/>
  <c r="BC251" i="1"/>
  <c r="AE251" i="1"/>
  <c r="U251" i="1"/>
  <c r="P251" i="1"/>
  <c r="I251" i="1"/>
  <c r="CY250" i="1"/>
  <c r="CL250" i="1"/>
  <c r="CC250" i="1"/>
  <c r="BO250" i="1"/>
  <c r="BL250" i="1"/>
  <c r="BG250" i="1"/>
  <c r="BC250" i="1"/>
  <c r="AE250" i="1"/>
  <c r="U250" i="1"/>
  <c r="P250" i="1"/>
  <c r="I250" i="1"/>
  <c r="CY249" i="1"/>
  <c r="CL249" i="1"/>
  <c r="CC249" i="1"/>
  <c r="BO249" i="1"/>
  <c r="BL249" i="1"/>
  <c r="BG249" i="1"/>
  <c r="BC249" i="1"/>
  <c r="AE249" i="1"/>
  <c r="U249" i="1"/>
  <c r="P249" i="1"/>
  <c r="I249" i="1"/>
  <c r="CY248" i="1"/>
  <c r="CL248" i="1"/>
  <c r="CC248" i="1"/>
  <c r="BO248" i="1"/>
  <c r="BL248" i="1"/>
  <c r="BG248" i="1"/>
  <c r="BC248" i="1"/>
  <c r="AE248" i="1"/>
  <c r="U248" i="1"/>
  <c r="P248" i="1"/>
  <c r="I248" i="1"/>
  <c r="CY247" i="1"/>
  <c r="CL247" i="1"/>
  <c r="CC247" i="1"/>
  <c r="BO247" i="1"/>
  <c r="BL247" i="1"/>
  <c r="BG247" i="1"/>
  <c r="BC247" i="1"/>
  <c r="AE247" i="1"/>
  <c r="U247" i="1"/>
  <c r="P247" i="1"/>
  <c r="I247" i="1"/>
  <c r="CY246" i="1"/>
  <c r="CL246" i="1"/>
  <c r="CC246" i="1"/>
  <c r="BO246" i="1"/>
  <c r="BL246" i="1"/>
  <c r="BG246" i="1"/>
  <c r="BC246" i="1"/>
  <c r="AE246" i="1"/>
  <c r="U246" i="1"/>
  <c r="P246" i="1"/>
  <c r="I246" i="1"/>
  <c r="CY245" i="1"/>
  <c r="CL245" i="1"/>
  <c r="CC245" i="1"/>
  <c r="BO245" i="1"/>
  <c r="BL245" i="1"/>
  <c r="BG245" i="1"/>
  <c r="BC245" i="1"/>
  <c r="AE245" i="1"/>
  <c r="U245" i="1"/>
  <c r="P245" i="1"/>
  <c r="I245" i="1"/>
  <c r="CY244" i="1"/>
  <c r="CL244" i="1"/>
  <c r="CC244" i="1"/>
  <c r="BO244" i="1"/>
  <c r="BL244" i="1"/>
  <c r="BG244" i="1"/>
  <c r="BC244" i="1"/>
  <c r="AE244" i="1"/>
  <c r="U244" i="1"/>
  <c r="P244" i="1"/>
  <c r="I244" i="1"/>
  <c r="CY243" i="1"/>
  <c r="CL243" i="1"/>
  <c r="CC243" i="1"/>
  <c r="BO243" i="1"/>
  <c r="BL243" i="1"/>
  <c r="BG243" i="1"/>
  <c r="BC243" i="1"/>
  <c r="AE243" i="1"/>
  <c r="U243" i="1"/>
  <c r="P243" i="1"/>
  <c r="I243" i="1"/>
  <c r="CY242" i="1"/>
  <c r="CL242" i="1"/>
  <c r="CC242" i="1"/>
  <c r="BO242" i="1"/>
  <c r="BL242" i="1"/>
  <c r="BG242" i="1"/>
  <c r="BC242" i="1"/>
  <c r="AE242" i="1"/>
  <c r="U242" i="1"/>
  <c r="P242" i="1"/>
  <c r="I242" i="1"/>
  <c r="CY241" i="1"/>
  <c r="CL241" i="1"/>
  <c r="CC241" i="1"/>
  <c r="BO241" i="1"/>
  <c r="BL241" i="1"/>
  <c r="BG241" i="1"/>
  <c r="BC241" i="1"/>
  <c r="AE241" i="1"/>
  <c r="U241" i="1"/>
  <c r="P241" i="1"/>
  <c r="I241" i="1"/>
  <c r="CZ240" i="1"/>
  <c r="CT240" i="1"/>
  <c r="CO240" i="1"/>
  <c r="CJ240" i="1"/>
  <c r="CG240" i="1"/>
  <c r="CD240" i="1"/>
  <c r="BZ240" i="1"/>
  <c r="BY240" i="1"/>
  <c r="BX240" i="1"/>
  <c r="BW240" i="1"/>
  <c r="BV240" i="1"/>
  <c r="BU240" i="1"/>
  <c r="BT240" i="1"/>
  <c r="BS240" i="1"/>
  <c r="BR240" i="1"/>
  <c r="BQ240" i="1"/>
  <c r="BP240" i="1"/>
  <c r="BM240" i="1"/>
  <c r="BJ240" i="1"/>
  <c r="BI240" i="1"/>
  <c r="BH240" i="1"/>
  <c r="BF240" i="1"/>
  <c r="BE240" i="1"/>
  <c r="BD240" i="1"/>
  <c r="AY240" i="1"/>
  <c r="AX240" i="1"/>
  <c r="AW240" i="1"/>
  <c r="AV240" i="1"/>
  <c r="AU240" i="1"/>
  <c r="AT240" i="1"/>
  <c r="AS240" i="1"/>
  <c r="AR240" i="1"/>
  <c r="AP240" i="1"/>
  <c r="AO240" i="1"/>
  <c r="AN240" i="1"/>
  <c r="AM240" i="1"/>
  <c r="AL240" i="1"/>
  <c r="AJ240" i="1"/>
  <c r="AG240" i="1"/>
  <c r="AF240" i="1"/>
  <c r="AB240" i="1"/>
  <c r="S240" i="1"/>
  <c r="Q240" i="1"/>
  <c r="M240" i="1"/>
  <c r="L240" i="1"/>
  <c r="K240" i="1"/>
  <c r="H240" i="1"/>
  <c r="G240" i="1"/>
  <c r="CY238" i="1"/>
  <c r="CL238" i="1"/>
  <c r="CC238" i="1"/>
  <c r="BO238" i="1"/>
  <c r="BL238" i="1"/>
  <c r="BG238" i="1"/>
  <c r="BC238" i="1"/>
  <c r="AE238" i="1"/>
  <c r="U238" i="1"/>
  <c r="P238" i="1"/>
  <c r="I238" i="1"/>
  <c r="CY237" i="1"/>
  <c r="CL237" i="1"/>
  <c r="CC237" i="1"/>
  <c r="BO237" i="1"/>
  <c r="BL237" i="1"/>
  <c r="BG237" i="1"/>
  <c r="BC237" i="1"/>
  <c r="AE237" i="1"/>
  <c r="U237" i="1"/>
  <c r="P237" i="1"/>
  <c r="O237" i="1"/>
  <c r="CY235" i="1"/>
  <c r="CL235" i="1"/>
  <c r="CC235" i="1"/>
  <c r="BO235" i="1"/>
  <c r="BL235" i="1"/>
  <c r="BG235" i="1"/>
  <c r="BC235" i="1"/>
  <c r="AE235" i="1"/>
  <c r="U235" i="1"/>
  <c r="P235" i="1"/>
  <c r="I235" i="1"/>
  <c r="CY227" i="1"/>
  <c r="CL227" i="1"/>
  <c r="CC227" i="1"/>
  <c r="BO227" i="1"/>
  <c r="BL227" i="1"/>
  <c r="BG227" i="1"/>
  <c r="BC227" i="1"/>
  <c r="AE227" i="1"/>
  <c r="U227" i="1"/>
  <c r="P227" i="1"/>
  <c r="I227" i="1"/>
  <c r="CY224" i="1"/>
  <c r="CL224" i="1"/>
  <c r="CC224" i="1"/>
  <c r="BO224" i="1"/>
  <c r="BL224" i="1"/>
  <c r="BG224" i="1"/>
  <c r="BC224" i="1"/>
  <c r="U224" i="1"/>
  <c r="P224" i="1"/>
  <c r="I224" i="1"/>
  <c r="CY221" i="1"/>
  <c r="CL221" i="1"/>
  <c r="CC221" i="1"/>
  <c r="BO221" i="1"/>
  <c r="BL221" i="1"/>
  <c r="BG221" i="1"/>
  <c r="BC221" i="1"/>
  <c r="AE221" i="1"/>
  <c r="U221" i="1"/>
  <c r="P221" i="1"/>
  <c r="I221" i="1"/>
  <c r="DA220" i="1"/>
  <c r="CZ220" i="1"/>
  <c r="CT220" i="1"/>
  <c r="CO220" i="1"/>
  <c r="CM220" i="1"/>
  <c r="CJ220" i="1"/>
  <c r="CG220" i="1"/>
  <c r="CE220" i="1"/>
  <c r="CD220" i="1"/>
  <c r="BZ220" i="1"/>
  <c r="BY220" i="1"/>
  <c r="BX220" i="1"/>
  <c r="BW220" i="1"/>
  <c r="BV220" i="1"/>
  <c r="BU220" i="1"/>
  <c r="BT220" i="1"/>
  <c r="BS220" i="1"/>
  <c r="BR220" i="1"/>
  <c r="BQ220" i="1"/>
  <c r="BP220" i="1"/>
  <c r="BM220" i="1"/>
  <c r="BJ220" i="1"/>
  <c r="BI220" i="1"/>
  <c r="BH220" i="1"/>
  <c r="BF220" i="1"/>
  <c r="BE220" i="1"/>
  <c r="BD220" i="1"/>
  <c r="BA220" i="1"/>
  <c r="AY220" i="1"/>
  <c r="AX220" i="1"/>
  <c r="AW220" i="1"/>
  <c r="AT220" i="1"/>
  <c r="AS220" i="1"/>
  <c r="AR220" i="1"/>
  <c r="AP220" i="1"/>
  <c r="AO220" i="1"/>
  <c r="AN220" i="1"/>
  <c r="AM220" i="1"/>
  <c r="AL220" i="1"/>
  <c r="AK220" i="1"/>
  <c r="AJ220" i="1"/>
  <c r="AI220" i="1"/>
  <c r="AH220" i="1"/>
  <c r="AG220" i="1"/>
  <c r="AF220" i="1"/>
  <c r="AC220" i="1"/>
  <c r="AB220" i="1"/>
  <c r="AA220" i="1"/>
  <c r="Z220" i="1"/>
  <c r="Y220" i="1"/>
  <c r="X220" i="1"/>
  <c r="W220" i="1"/>
  <c r="V220" i="1"/>
  <c r="T220" i="1"/>
  <c r="S220" i="1"/>
  <c r="R220" i="1"/>
  <c r="Q220" i="1"/>
  <c r="O220" i="1"/>
  <c r="N220" i="1"/>
  <c r="M220" i="1"/>
  <c r="L220" i="1"/>
  <c r="K220" i="1"/>
  <c r="J220" i="1"/>
  <c r="H220" i="1"/>
  <c r="G220" i="1"/>
  <c r="CY218" i="1"/>
  <c r="CL218" i="1"/>
  <c r="CC218" i="1"/>
  <c r="BO218" i="1"/>
  <c r="BL218" i="1"/>
  <c r="BG218" i="1"/>
  <c r="BC218" i="1"/>
  <c r="AE218" i="1"/>
  <c r="U218" i="1"/>
  <c r="P218" i="1"/>
  <c r="I218" i="1"/>
  <c r="CY217" i="1"/>
  <c r="CL217" i="1"/>
  <c r="CC217" i="1"/>
  <c r="BO217" i="1"/>
  <c r="BL217" i="1"/>
  <c r="BG217" i="1"/>
  <c r="BC217" i="1"/>
  <c r="AE217" i="1"/>
  <c r="U217" i="1"/>
  <c r="P217" i="1"/>
  <c r="I217" i="1"/>
  <c r="DA216" i="1"/>
  <c r="CZ216" i="1"/>
  <c r="CT216" i="1"/>
  <c r="CO216" i="1"/>
  <c r="CM216" i="1"/>
  <c r="CJ216" i="1"/>
  <c r="CG216" i="1"/>
  <c r="CE216" i="1"/>
  <c r="CD216" i="1"/>
  <c r="BZ216" i="1"/>
  <c r="BY216" i="1"/>
  <c r="BX216" i="1"/>
  <c r="BW216" i="1"/>
  <c r="BV216" i="1"/>
  <c r="BU216" i="1"/>
  <c r="BT216" i="1"/>
  <c r="BS216" i="1"/>
  <c r="BR216" i="1"/>
  <c r="BQ216" i="1"/>
  <c r="BP216" i="1"/>
  <c r="BM216" i="1"/>
  <c r="BJ216" i="1"/>
  <c r="BI216" i="1"/>
  <c r="BH216" i="1"/>
  <c r="BF216" i="1"/>
  <c r="BE216" i="1"/>
  <c r="BD216" i="1"/>
  <c r="BA216" i="1"/>
  <c r="AY216" i="1"/>
  <c r="AX216" i="1"/>
  <c r="AW216" i="1"/>
  <c r="AT216" i="1"/>
  <c r="AS216" i="1"/>
  <c r="AR216" i="1"/>
  <c r="AP216" i="1"/>
  <c r="AO216" i="1"/>
  <c r="AN216" i="1"/>
  <c r="AM216" i="1"/>
  <c r="AL216" i="1"/>
  <c r="AK216" i="1"/>
  <c r="AJ216" i="1"/>
  <c r="AI216" i="1"/>
  <c r="AH216" i="1"/>
  <c r="AG216" i="1"/>
  <c r="AF216" i="1"/>
  <c r="AC216" i="1"/>
  <c r="AB216" i="1"/>
  <c r="AA216" i="1"/>
  <c r="Z216" i="1"/>
  <c r="Y216" i="1"/>
  <c r="X216" i="1"/>
  <c r="W216" i="1"/>
  <c r="V216" i="1"/>
  <c r="T216" i="1"/>
  <c r="S216" i="1"/>
  <c r="R216" i="1"/>
  <c r="Q216" i="1"/>
  <c r="O216" i="1"/>
  <c r="N216" i="1"/>
  <c r="M216" i="1"/>
  <c r="L216" i="1"/>
  <c r="K216" i="1"/>
  <c r="J216" i="1"/>
  <c r="H216" i="1"/>
  <c r="G216" i="1"/>
  <c r="CY211" i="1"/>
  <c r="CL211" i="1"/>
  <c r="CC211" i="1"/>
  <c r="BO211" i="1"/>
  <c r="BL211" i="1"/>
  <c r="BG211" i="1"/>
  <c r="BC211" i="1"/>
  <c r="AE211" i="1"/>
  <c r="U211" i="1"/>
  <c r="P211" i="1"/>
  <c r="I211" i="1"/>
  <c r="DA210" i="1"/>
  <c r="CZ210" i="1"/>
  <c r="CT210" i="1"/>
  <c r="CO210" i="1"/>
  <c r="CM210" i="1"/>
  <c r="CJ210" i="1"/>
  <c r="CG210" i="1"/>
  <c r="CE210" i="1"/>
  <c r="CD210" i="1"/>
  <c r="BZ210" i="1"/>
  <c r="BY210" i="1"/>
  <c r="BX210" i="1"/>
  <c r="BW210" i="1"/>
  <c r="BV210" i="1"/>
  <c r="BU210" i="1"/>
  <c r="BT210" i="1"/>
  <c r="BS210" i="1"/>
  <c r="BR210" i="1"/>
  <c r="BQ210" i="1"/>
  <c r="BP210" i="1"/>
  <c r="BM210" i="1"/>
  <c r="BJ210" i="1"/>
  <c r="BI210" i="1"/>
  <c r="BH210" i="1"/>
  <c r="BF210" i="1"/>
  <c r="BE210" i="1"/>
  <c r="BD210" i="1"/>
  <c r="BA210" i="1"/>
  <c r="AY210" i="1"/>
  <c r="AX210" i="1"/>
  <c r="AW210" i="1"/>
  <c r="AT210" i="1"/>
  <c r="AS210" i="1"/>
  <c r="AR210" i="1"/>
  <c r="AP210" i="1"/>
  <c r="AO210" i="1"/>
  <c r="AN210" i="1"/>
  <c r="AM210" i="1"/>
  <c r="AL210" i="1"/>
  <c r="AK210" i="1"/>
  <c r="AJ210" i="1"/>
  <c r="AI210" i="1"/>
  <c r="AH210" i="1"/>
  <c r="AG210" i="1"/>
  <c r="AF210" i="1"/>
  <c r="AC210" i="1"/>
  <c r="AB210" i="1"/>
  <c r="AA210" i="1"/>
  <c r="Z210" i="1"/>
  <c r="Y210" i="1"/>
  <c r="X210" i="1"/>
  <c r="W210" i="1"/>
  <c r="V210" i="1"/>
  <c r="T210" i="1"/>
  <c r="S210" i="1"/>
  <c r="R210" i="1"/>
  <c r="Q210" i="1"/>
  <c r="O210" i="1"/>
  <c r="N210" i="1"/>
  <c r="M210" i="1"/>
  <c r="L210" i="1"/>
  <c r="K210" i="1"/>
  <c r="J210" i="1"/>
  <c r="H210" i="1"/>
  <c r="G210" i="1"/>
  <c r="CY208" i="1"/>
  <c r="CL208" i="1"/>
  <c r="CC208" i="1"/>
  <c r="BO208" i="1"/>
  <c r="BL208" i="1"/>
  <c r="BG208" i="1"/>
  <c r="BC208" i="1"/>
  <c r="AE208" i="1"/>
  <c r="P208" i="1"/>
  <c r="I208" i="1"/>
  <c r="CY206" i="1"/>
  <c r="CL206" i="1"/>
  <c r="CC206" i="1"/>
  <c r="BO206" i="1"/>
  <c r="BL206" i="1"/>
  <c r="BG206" i="1"/>
  <c r="BC206" i="1"/>
  <c r="AE206" i="1"/>
  <c r="U206" i="1"/>
  <c r="P206" i="1"/>
  <c r="I206" i="1"/>
  <c r="CY205" i="1"/>
  <c r="CL205" i="1"/>
  <c r="CC205" i="1"/>
  <c r="BO205" i="1"/>
  <c r="BL205" i="1"/>
  <c r="BG205" i="1"/>
  <c r="BC205" i="1"/>
  <c r="AE205" i="1"/>
  <c r="U205" i="1"/>
  <c r="P205" i="1"/>
  <c r="I205" i="1"/>
  <c r="CY204" i="1"/>
  <c r="CL204" i="1"/>
  <c r="CC204" i="1"/>
  <c r="BO204" i="1"/>
  <c r="BL204" i="1"/>
  <c r="BG204" i="1"/>
  <c r="BC204" i="1"/>
  <c r="AE204" i="1"/>
  <c r="U204" i="1"/>
  <c r="P204" i="1"/>
  <c r="I204" i="1"/>
  <c r="CY203" i="1"/>
  <c r="CL203" i="1"/>
  <c r="CC203" i="1"/>
  <c r="BO203" i="1"/>
  <c r="BL203" i="1"/>
  <c r="BG203" i="1"/>
  <c r="BC203" i="1"/>
  <c r="AE203" i="1"/>
  <c r="U203" i="1"/>
  <c r="P203" i="1"/>
  <c r="I203" i="1"/>
  <c r="CY202" i="1"/>
  <c r="CL202" i="1"/>
  <c r="CC202" i="1"/>
  <c r="BO202" i="1"/>
  <c r="BL202" i="1"/>
  <c r="BG202" i="1"/>
  <c r="BC202" i="1"/>
  <c r="AE202" i="1"/>
  <c r="U202" i="1"/>
  <c r="P202" i="1"/>
  <c r="I202" i="1"/>
  <c r="CY201" i="1"/>
  <c r="CL201" i="1"/>
  <c r="CC201" i="1"/>
  <c r="BO201" i="1"/>
  <c r="BL201" i="1"/>
  <c r="BG201" i="1"/>
  <c r="BC201" i="1"/>
  <c r="AE201" i="1"/>
  <c r="U201" i="1"/>
  <c r="P201" i="1"/>
  <c r="I201" i="1"/>
  <c r="CY200" i="1"/>
  <c r="CL200" i="1"/>
  <c r="CC200" i="1"/>
  <c r="BO200" i="1"/>
  <c r="BL200" i="1"/>
  <c r="BG200" i="1"/>
  <c r="BC200" i="1"/>
  <c r="AE200" i="1"/>
  <c r="U200" i="1"/>
  <c r="P200" i="1"/>
  <c r="I200" i="1"/>
  <c r="CY199" i="1"/>
  <c r="CL199" i="1"/>
  <c r="CC199" i="1"/>
  <c r="BO199" i="1"/>
  <c r="BL199" i="1"/>
  <c r="BG199" i="1"/>
  <c r="BC199" i="1"/>
  <c r="AE199" i="1"/>
  <c r="U199" i="1"/>
  <c r="P199" i="1"/>
  <c r="I199" i="1"/>
  <c r="DA198" i="1"/>
  <c r="CZ198" i="1"/>
  <c r="CT198" i="1"/>
  <c r="CO198" i="1"/>
  <c r="CM198" i="1"/>
  <c r="CJ198" i="1"/>
  <c r="CG198" i="1"/>
  <c r="CE198" i="1"/>
  <c r="CD198" i="1"/>
  <c r="BZ198" i="1"/>
  <c r="BY198" i="1"/>
  <c r="BX198" i="1"/>
  <c r="BW198" i="1"/>
  <c r="BV198" i="1"/>
  <c r="BU198" i="1"/>
  <c r="BT198" i="1"/>
  <c r="BS198" i="1"/>
  <c r="BR198" i="1"/>
  <c r="BQ198" i="1"/>
  <c r="BP198" i="1"/>
  <c r="BM198" i="1"/>
  <c r="BJ198" i="1"/>
  <c r="BI198" i="1"/>
  <c r="BH198" i="1"/>
  <c r="BF198" i="1"/>
  <c r="BE198" i="1"/>
  <c r="BD198" i="1"/>
  <c r="BA198" i="1"/>
  <c r="AY198" i="1"/>
  <c r="AX198" i="1"/>
  <c r="AW198" i="1"/>
  <c r="AT198" i="1"/>
  <c r="AS198" i="1"/>
  <c r="AR198" i="1"/>
  <c r="AP198" i="1"/>
  <c r="AO198" i="1"/>
  <c r="AN198" i="1"/>
  <c r="AM198" i="1"/>
  <c r="AL198" i="1"/>
  <c r="AK198" i="1"/>
  <c r="AJ198" i="1"/>
  <c r="AI198" i="1"/>
  <c r="AH198" i="1"/>
  <c r="AG198" i="1"/>
  <c r="AF198" i="1"/>
  <c r="AC198" i="1"/>
  <c r="AA198" i="1"/>
  <c r="Z198" i="1"/>
  <c r="Y198" i="1"/>
  <c r="X198" i="1"/>
  <c r="W198" i="1"/>
  <c r="V198" i="1"/>
  <c r="T198" i="1"/>
  <c r="S198" i="1"/>
  <c r="R198" i="1"/>
  <c r="Q198" i="1"/>
  <c r="O198" i="1"/>
  <c r="N198" i="1"/>
  <c r="M198" i="1"/>
  <c r="L198" i="1"/>
  <c r="K198" i="1"/>
  <c r="J198" i="1"/>
  <c r="H198" i="1"/>
  <c r="G198" i="1"/>
  <c r="CY197" i="1"/>
  <c r="CL197" i="1"/>
  <c r="CC197" i="1"/>
  <c r="BO197" i="1"/>
  <c r="BL197" i="1"/>
  <c r="BG197" i="1"/>
  <c r="BC197" i="1"/>
  <c r="U197" i="1"/>
  <c r="P197" i="1"/>
  <c r="I197" i="1"/>
  <c r="CY196" i="1"/>
  <c r="CL196" i="1"/>
  <c r="CC196" i="1"/>
  <c r="BO196" i="1"/>
  <c r="BL196" i="1"/>
  <c r="BG196" i="1"/>
  <c r="BC196" i="1"/>
  <c r="U196" i="1"/>
  <c r="P196" i="1"/>
  <c r="I196" i="1"/>
  <c r="CY195" i="1"/>
  <c r="CL195" i="1"/>
  <c r="CC195" i="1"/>
  <c r="BL195" i="1"/>
  <c r="BG195" i="1"/>
  <c r="BC195" i="1"/>
  <c r="U195" i="1"/>
  <c r="P195" i="1"/>
  <c r="I195" i="1"/>
  <c r="CY194" i="1"/>
  <c r="CL194" i="1"/>
  <c r="CC194" i="1"/>
  <c r="BO194" i="1"/>
  <c r="BL194" i="1"/>
  <c r="BG194" i="1"/>
  <c r="BC194" i="1"/>
  <c r="U194" i="1"/>
  <c r="P194" i="1"/>
  <c r="I194" i="1"/>
  <c r="CY193" i="1"/>
  <c r="CL193" i="1"/>
  <c r="CC193" i="1"/>
  <c r="BL193" i="1"/>
  <c r="BG193" i="1"/>
  <c r="BC193" i="1"/>
  <c r="U193" i="1"/>
  <c r="P193" i="1"/>
  <c r="I193" i="1"/>
  <c r="CY192" i="1"/>
  <c r="CL192" i="1"/>
  <c r="CC192" i="1"/>
  <c r="BO192" i="1"/>
  <c r="BL192" i="1"/>
  <c r="BG192" i="1"/>
  <c r="BC192" i="1"/>
  <c r="U192" i="1"/>
  <c r="P192" i="1"/>
  <c r="I192" i="1"/>
  <c r="CY191" i="1"/>
  <c r="CL191" i="1"/>
  <c r="CC191" i="1"/>
  <c r="BO191" i="1"/>
  <c r="BL191" i="1"/>
  <c r="BG191" i="1"/>
  <c r="BC191" i="1"/>
  <c r="U191" i="1"/>
  <c r="P191" i="1"/>
  <c r="I191" i="1"/>
  <c r="DA190" i="1"/>
  <c r="CZ190" i="1"/>
  <c r="CT190" i="1"/>
  <c r="CO190" i="1"/>
  <c r="CM190" i="1"/>
  <c r="CJ190" i="1"/>
  <c r="CG190" i="1"/>
  <c r="CE190" i="1"/>
  <c r="CD190" i="1"/>
  <c r="BX190" i="1"/>
  <c r="BW190" i="1"/>
  <c r="BV190" i="1"/>
  <c r="BU190" i="1"/>
  <c r="BT190" i="1"/>
  <c r="BS190" i="1"/>
  <c r="BR190" i="1"/>
  <c r="BQ190" i="1"/>
  <c r="BP190" i="1"/>
  <c r="BM190" i="1"/>
  <c r="BJ190" i="1"/>
  <c r="BI190" i="1"/>
  <c r="BH190" i="1"/>
  <c r="BF190" i="1"/>
  <c r="BE190" i="1"/>
  <c r="BD190" i="1"/>
  <c r="BA190" i="1"/>
  <c r="AY190" i="1"/>
  <c r="AX190" i="1"/>
  <c r="AW190" i="1"/>
  <c r="AT190" i="1"/>
  <c r="AS190" i="1"/>
  <c r="AR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C190" i="1"/>
  <c r="AB190" i="1"/>
  <c r="AA190" i="1"/>
  <c r="Z190" i="1"/>
  <c r="Y190" i="1"/>
  <c r="X190" i="1"/>
  <c r="W190" i="1"/>
  <c r="V190" i="1"/>
  <c r="T190" i="1"/>
  <c r="S190" i="1"/>
  <c r="R190" i="1"/>
  <c r="Q190" i="1"/>
  <c r="O190" i="1"/>
  <c r="N190" i="1"/>
  <c r="M190" i="1"/>
  <c r="L190" i="1"/>
  <c r="K190" i="1"/>
  <c r="J190" i="1"/>
  <c r="CY189" i="1"/>
  <c r="CL189" i="1"/>
  <c r="CC189" i="1"/>
  <c r="BO189" i="1"/>
  <c r="BL189" i="1"/>
  <c r="BG189" i="1"/>
  <c r="BC189" i="1"/>
  <c r="U189" i="1"/>
  <c r="P189" i="1"/>
  <c r="I189" i="1"/>
  <c r="DA188" i="1"/>
  <c r="CZ188" i="1"/>
  <c r="CT188" i="1"/>
  <c r="CO188" i="1"/>
  <c r="CM188" i="1"/>
  <c r="CJ188" i="1"/>
  <c r="CG188" i="1"/>
  <c r="CE188" i="1"/>
  <c r="CD188" i="1"/>
  <c r="BZ188" i="1"/>
  <c r="BY188" i="1"/>
  <c r="BX188" i="1"/>
  <c r="BW188" i="1"/>
  <c r="BV188" i="1"/>
  <c r="BU188" i="1"/>
  <c r="BT188" i="1"/>
  <c r="BS188" i="1"/>
  <c r="BR188" i="1"/>
  <c r="BQ188" i="1"/>
  <c r="BP188" i="1"/>
  <c r="BM188" i="1"/>
  <c r="BJ188" i="1"/>
  <c r="BI188" i="1"/>
  <c r="BH188" i="1"/>
  <c r="BF188" i="1"/>
  <c r="BE188" i="1"/>
  <c r="BD188" i="1"/>
  <c r="BA188" i="1"/>
  <c r="AY188" i="1"/>
  <c r="AX188" i="1"/>
  <c r="AW188" i="1"/>
  <c r="AT188" i="1"/>
  <c r="AS188" i="1"/>
  <c r="AR188" i="1"/>
  <c r="AP188" i="1"/>
  <c r="AO188" i="1"/>
  <c r="AN188" i="1"/>
  <c r="AM188" i="1"/>
  <c r="AL188" i="1"/>
  <c r="AK188" i="1"/>
  <c r="AJ188" i="1"/>
  <c r="AI188" i="1"/>
  <c r="AH188" i="1"/>
  <c r="AG188" i="1"/>
  <c r="AF188" i="1"/>
  <c r="AC188" i="1"/>
  <c r="AB188" i="1"/>
  <c r="AA188" i="1"/>
  <c r="Z188" i="1"/>
  <c r="Y188" i="1"/>
  <c r="X188" i="1"/>
  <c r="W188" i="1"/>
  <c r="V188" i="1"/>
  <c r="T188" i="1"/>
  <c r="S188" i="1"/>
  <c r="R188" i="1"/>
  <c r="Q188" i="1"/>
  <c r="O188" i="1"/>
  <c r="N188" i="1"/>
  <c r="M188" i="1"/>
  <c r="L188" i="1"/>
  <c r="K188" i="1"/>
  <c r="J188" i="1"/>
  <c r="H188" i="1"/>
  <c r="G188" i="1"/>
  <c r="CY187" i="1"/>
  <c r="CL187" i="1"/>
  <c r="CC187" i="1"/>
  <c r="BO187" i="1"/>
  <c r="BL187" i="1"/>
  <c r="BG187" i="1"/>
  <c r="BC187" i="1"/>
  <c r="AE187" i="1"/>
  <c r="U187" i="1"/>
  <c r="P187" i="1"/>
  <c r="I187" i="1"/>
  <c r="DA186" i="1"/>
  <c r="CZ186" i="1"/>
  <c r="CT186" i="1"/>
  <c r="CO186" i="1"/>
  <c r="CM186" i="1"/>
  <c r="CJ186" i="1"/>
  <c r="CG186" i="1"/>
  <c r="CE186" i="1"/>
  <c r="CD186" i="1"/>
  <c r="BZ186" i="1"/>
  <c r="BY186" i="1"/>
  <c r="BX186" i="1"/>
  <c r="BW186" i="1"/>
  <c r="BV186" i="1"/>
  <c r="BU186" i="1"/>
  <c r="BT186" i="1"/>
  <c r="BS186" i="1"/>
  <c r="BR186" i="1"/>
  <c r="BQ186" i="1"/>
  <c r="BP186" i="1"/>
  <c r="BM186" i="1"/>
  <c r="BJ186" i="1"/>
  <c r="BI186" i="1"/>
  <c r="BH186" i="1"/>
  <c r="BF186" i="1"/>
  <c r="BE186" i="1"/>
  <c r="BD186" i="1"/>
  <c r="BA186" i="1"/>
  <c r="AY186" i="1"/>
  <c r="AX186" i="1"/>
  <c r="AW186" i="1"/>
  <c r="AT186" i="1"/>
  <c r="AS186" i="1"/>
  <c r="AR186" i="1"/>
  <c r="AP186" i="1"/>
  <c r="AO186" i="1"/>
  <c r="AN186" i="1"/>
  <c r="AM186" i="1"/>
  <c r="AL186" i="1"/>
  <c r="AK186" i="1"/>
  <c r="AJ186" i="1"/>
  <c r="AI186" i="1"/>
  <c r="AH186" i="1"/>
  <c r="AG186" i="1"/>
  <c r="AF186" i="1"/>
  <c r="AC186" i="1"/>
  <c r="AB186" i="1"/>
  <c r="AA186" i="1"/>
  <c r="Z186" i="1"/>
  <c r="Y186" i="1"/>
  <c r="X186" i="1"/>
  <c r="W186" i="1"/>
  <c r="V186" i="1"/>
  <c r="T186" i="1"/>
  <c r="S186" i="1"/>
  <c r="R186" i="1"/>
  <c r="Q186" i="1"/>
  <c r="O186" i="1"/>
  <c r="N186" i="1"/>
  <c r="M186" i="1"/>
  <c r="L186" i="1"/>
  <c r="K186" i="1"/>
  <c r="J186" i="1"/>
  <c r="H186" i="1"/>
  <c r="G186" i="1"/>
  <c r="CY185" i="1"/>
  <c r="CL185" i="1"/>
  <c r="CC185" i="1"/>
  <c r="BO185" i="1"/>
  <c r="BL185" i="1"/>
  <c r="BG185" i="1"/>
  <c r="BC185" i="1"/>
  <c r="AE185" i="1"/>
  <c r="U185" i="1"/>
  <c r="P185" i="1"/>
  <c r="I185" i="1"/>
  <c r="DA184" i="1"/>
  <c r="CZ184" i="1"/>
  <c r="CT184" i="1"/>
  <c r="CO184" i="1"/>
  <c r="CM184" i="1"/>
  <c r="CJ184" i="1"/>
  <c r="CG184" i="1"/>
  <c r="CE184" i="1"/>
  <c r="CD184" i="1"/>
  <c r="BZ184" i="1"/>
  <c r="BY184" i="1"/>
  <c r="BX184" i="1"/>
  <c r="BW184" i="1"/>
  <c r="BV184" i="1"/>
  <c r="BU184" i="1"/>
  <c r="BT184" i="1"/>
  <c r="BS184" i="1"/>
  <c r="BR184" i="1"/>
  <c r="BQ184" i="1"/>
  <c r="BP184" i="1"/>
  <c r="BM184" i="1"/>
  <c r="BJ184" i="1"/>
  <c r="BI184" i="1"/>
  <c r="BH184" i="1"/>
  <c r="BF184" i="1"/>
  <c r="BE184" i="1"/>
  <c r="BD184" i="1"/>
  <c r="BA184" i="1"/>
  <c r="AY184" i="1"/>
  <c r="AX184" i="1"/>
  <c r="AW184" i="1"/>
  <c r="AT184" i="1"/>
  <c r="AS184" i="1"/>
  <c r="AR184" i="1"/>
  <c r="AP184" i="1"/>
  <c r="AO184" i="1"/>
  <c r="AN184" i="1"/>
  <c r="AM184" i="1"/>
  <c r="AL184" i="1"/>
  <c r="AK184" i="1"/>
  <c r="AJ184" i="1"/>
  <c r="AI184" i="1"/>
  <c r="AH184" i="1"/>
  <c r="AG184" i="1"/>
  <c r="AF184" i="1"/>
  <c r="AC184" i="1"/>
  <c r="AB184" i="1"/>
  <c r="AA184" i="1"/>
  <c r="Z184" i="1"/>
  <c r="Y184" i="1"/>
  <c r="X184" i="1"/>
  <c r="W184" i="1"/>
  <c r="V184" i="1"/>
  <c r="T184" i="1"/>
  <c r="S184" i="1"/>
  <c r="R184" i="1"/>
  <c r="Q184" i="1"/>
  <c r="O184" i="1"/>
  <c r="N184" i="1"/>
  <c r="M184" i="1"/>
  <c r="L184" i="1"/>
  <c r="K184" i="1"/>
  <c r="J184" i="1"/>
  <c r="H184" i="1"/>
  <c r="G184" i="1"/>
  <c r="CY183" i="1"/>
  <c r="CL183" i="1"/>
  <c r="CC183" i="1"/>
  <c r="BL183" i="1"/>
  <c r="BG183" i="1"/>
  <c r="BC183" i="1"/>
  <c r="AE183" i="1"/>
  <c r="U183" i="1"/>
  <c r="P183" i="1"/>
  <c r="I183" i="1"/>
  <c r="DA182" i="1"/>
  <c r="CZ182" i="1"/>
  <c r="CT182" i="1"/>
  <c r="CO182" i="1"/>
  <c r="CM182" i="1"/>
  <c r="CJ182" i="1"/>
  <c r="CG182" i="1"/>
  <c r="CE182" i="1"/>
  <c r="CD182" i="1"/>
  <c r="BZ182" i="1"/>
  <c r="BX182" i="1"/>
  <c r="BW182" i="1"/>
  <c r="BV182" i="1"/>
  <c r="BU182" i="1"/>
  <c r="BT182" i="1"/>
  <c r="BS182" i="1"/>
  <c r="BR182" i="1"/>
  <c r="BQ182" i="1"/>
  <c r="BP182" i="1"/>
  <c r="BM182" i="1"/>
  <c r="BJ182" i="1"/>
  <c r="BI182" i="1"/>
  <c r="BH182" i="1"/>
  <c r="BF182" i="1"/>
  <c r="BE182" i="1"/>
  <c r="BD182" i="1"/>
  <c r="BA182" i="1"/>
  <c r="AY182" i="1"/>
  <c r="AX182" i="1"/>
  <c r="AW182" i="1"/>
  <c r="AT182" i="1"/>
  <c r="AS182" i="1"/>
  <c r="AR182" i="1"/>
  <c r="AP182" i="1"/>
  <c r="AO182" i="1"/>
  <c r="AN182" i="1"/>
  <c r="AM182" i="1"/>
  <c r="AL182" i="1"/>
  <c r="AK182" i="1"/>
  <c r="AJ182" i="1"/>
  <c r="AI182" i="1"/>
  <c r="AH182" i="1"/>
  <c r="AG182" i="1"/>
  <c r="AF182" i="1"/>
  <c r="AC182" i="1"/>
  <c r="AB182" i="1"/>
  <c r="AA182" i="1"/>
  <c r="Z182" i="1"/>
  <c r="Y182" i="1"/>
  <c r="X182" i="1"/>
  <c r="W182" i="1"/>
  <c r="V182" i="1"/>
  <c r="T182" i="1"/>
  <c r="S182" i="1"/>
  <c r="R182" i="1"/>
  <c r="Q182" i="1"/>
  <c r="O182" i="1"/>
  <c r="N182" i="1"/>
  <c r="M182" i="1"/>
  <c r="L182" i="1"/>
  <c r="K182" i="1"/>
  <c r="J182" i="1"/>
  <c r="H182" i="1"/>
  <c r="G182" i="1"/>
  <c r="CY181" i="1"/>
  <c r="CL181" i="1"/>
  <c r="CC181" i="1"/>
  <c r="BO181" i="1"/>
  <c r="BL181" i="1"/>
  <c r="BG181" i="1"/>
  <c r="BC181" i="1"/>
  <c r="AE181" i="1"/>
  <c r="U181" i="1"/>
  <c r="P181" i="1"/>
  <c r="I181" i="1"/>
  <c r="CY180" i="1"/>
  <c r="CL180" i="1"/>
  <c r="CC180" i="1"/>
  <c r="BO180" i="1"/>
  <c r="BL180" i="1"/>
  <c r="BG180" i="1"/>
  <c r="BC180" i="1"/>
  <c r="AE180" i="1"/>
  <c r="U180" i="1"/>
  <c r="P180" i="1"/>
  <c r="I180" i="1"/>
  <c r="CY179" i="1"/>
  <c r="CL179" i="1"/>
  <c r="CC179" i="1"/>
  <c r="BO179" i="1"/>
  <c r="BL179" i="1"/>
  <c r="BG179" i="1"/>
  <c r="BC179" i="1"/>
  <c r="AE179" i="1"/>
  <c r="U179" i="1"/>
  <c r="P179" i="1"/>
  <c r="I179" i="1"/>
  <c r="DA178" i="1"/>
  <c r="CZ178" i="1"/>
  <c r="CT178" i="1"/>
  <c r="CO178" i="1"/>
  <c r="CM178" i="1"/>
  <c r="CJ178" i="1"/>
  <c r="CG178" i="1"/>
  <c r="CE178" i="1"/>
  <c r="CD178" i="1"/>
  <c r="BZ178" i="1"/>
  <c r="BY178" i="1"/>
  <c r="BX178" i="1"/>
  <c r="BW178" i="1"/>
  <c r="BV178" i="1"/>
  <c r="BU178" i="1"/>
  <c r="BT178" i="1"/>
  <c r="BS178" i="1"/>
  <c r="BR178" i="1"/>
  <c r="BQ178" i="1"/>
  <c r="BP178" i="1"/>
  <c r="BM178" i="1"/>
  <c r="BJ178" i="1"/>
  <c r="BI178" i="1"/>
  <c r="BH178" i="1"/>
  <c r="BF178" i="1"/>
  <c r="BE178" i="1"/>
  <c r="BD178" i="1"/>
  <c r="BA178" i="1"/>
  <c r="AY178" i="1"/>
  <c r="AX178" i="1"/>
  <c r="AW178" i="1"/>
  <c r="AT178" i="1"/>
  <c r="AS178" i="1"/>
  <c r="AR178" i="1"/>
  <c r="AP178" i="1"/>
  <c r="AO178" i="1"/>
  <c r="AN178" i="1"/>
  <c r="AM178" i="1"/>
  <c r="AL178" i="1"/>
  <c r="AK178" i="1"/>
  <c r="AJ178" i="1"/>
  <c r="AI178" i="1"/>
  <c r="AH178" i="1"/>
  <c r="AG178" i="1"/>
  <c r="AF178" i="1"/>
  <c r="AC178" i="1"/>
  <c r="AB178" i="1"/>
  <c r="AA178" i="1"/>
  <c r="Z178" i="1"/>
  <c r="Y178" i="1"/>
  <c r="X178" i="1"/>
  <c r="W178" i="1"/>
  <c r="V178" i="1"/>
  <c r="T178" i="1"/>
  <c r="S178" i="1"/>
  <c r="R178" i="1"/>
  <c r="Q178" i="1"/>
  <c r="O178" i="1"/>
  <c r="N178" i="1"/>
  <c r="M178" i="1"/>
  <c r="L178" i="1"/>
  <c r="K178" i="1"/>
  <c r="J178" i="1"/>
  <c r="CY177" i="1"/>
  <c r="CL177" i="1"/>
  <c r="CC177" i="1"/>
  <c r="BO177" i="1"/>
  <c r="BL177" i="1"/>
  <c r="BG177" i="1"/>
  <c r="BC177" i="1"/>
  <c r="AE177" i="1"/>
  <c r="U177" i="1"/>
  <c r="P177" i="1"/>
  <c r="I177" i="1"/>
  <c r="CY176" i="1"/>
  <c r="CL176" i="1"/>
  <c r="CC176" i="1"/>
  <c r="BO176" i="1"/>
  <c r="BL176" i="1"/>
  <c r="BG176" i="1"/>
  <c r="BC176" i="1"/>
  <c r="AE176" i="1"/>
  <c r="U176" i="1"/>
  <c r="P176" i="1"/>
  <c r="I176" i="1"/>
  <c r="CY174" i="1"/>
  <c r="CL174" i="1"/>
  <c r="CC174" i="1"/>
  <c r="BO174" i="1"/>
  <c r="BL174" i="1"/>
  <c r="BG174" i="1"/>
  <c r="BC174" i="1"/>
  <c r="AE174" i="1"/>
  <c r="U174" i="1"/>
  <c r="P174" i="1"/>
  <c r="I174" i="1"/>
  <c r="DA173" i="1"/>
  <c r="CZ173" i="1"/>
  <c r="CT173" i="1"/>
  <c r="CO173" i="1"/>
  <c r="CM173" i="1"/>
  <c r="CJ173" i="1"/>
  <c r="CG173" i="1"/>
  <c r="CE173" i="1"/>
  <c r="CD173" i="1"/>
  <c r="BZ173" i="1"/>
  <c r="BY173" i="1"/>
  <c r="BX173" i="1"/>
  <c r="BW173" i="1"/>
  <c r="BV173" i="1"/>
  <c r="BU173" i="1"/>
  <c r="BT173" i="1"/>
  <c r="BS173" i="1"/>
  <c r="BR173" i="1"/>
  <c r="BQ173" i="1"/>
  <c r="BP173" i="1"/>
  <c r="BM173" i="1"/>
  <c r="BJ173" i="1"/>
  <c r="BI173" i="1"/>
  <c r="BH173" i="1"/>
  <c r="BF173" i="1"/>
  <c r="BE173" i="1"/>
  <c r="BD173" i="1"/>
  <c r="BA173" i="1"/>
  <c r="AY173" i="1"/>
  <c r="AX173" i="1"/>
  <c r="AW173" i="1"/>
  <c r="AT173" i="1"/>
  <c r="AS173" i="1"/>
  <c r="AR173" i="1"/>
  <c r="AP173" i="1"/>
  <c r="AO173" i="1"/>
  <c r="AN173" i="1"/>
  <c r="AM173" i="1"/>
  <c r="AL173" i="1"/>
  <c r="AK173" i="1"/>
  <c r="AJ173" i="1"/>
  <c r="AI173" i="1"/>
  <c r="AH173" i="1"/>
  <c r="AG173" i="1"/>
  <c r="AF173" i="1"/>
  <c r="AC173" i="1"/>
  <c r="AB173" i="1"/>
  <c r="AA173" i="1"/>
  <c r="Z173" i="1"/>
  <c r="Y173" i="1"/>
  <c r="X173" i="1"/>
  <c r="W173" i="1"/>
  <c r="V173" i="1"/>
  <c r="T173" i="1"/>
  <c r="S173" i="1"/>
  <c r="R173" i="1"/>
  <c r="Q173" i="1"/>
  <c r="O173" i="1"/>
  <c r="N173" i="1"/>
  <c r="M173" i="1"/>
  <c r="L173" i="1"/>
  <c r="K173" i="1"/>
  <c r="J173" i="1"/>
  <c r="H173" i="1"/>
  <c r="CY172" i="1"/>
  <c r="CL172" i="1"/>
  <c r="CC172" i="1"/>
  <c r="BO172" i="1"/>
  <c r="BL172" i="1"/>
  <c r="BG172" i="1"/>
  <c r="BC172" i="1"/>
  <c r="U172" i="1"/>
  <c r="P172" i="1"/>
  <c r="I172" i="1"/>
  <c r="DA171" i="1"/>
  <c r="CZ171" i="1"/>
  <c r="CT171" i="1"/>
  <c r="CO171" i="1"/>
  <c r="CM171" i="1"/>
  <c r="CJ171" i="1"/>
  <c r="CG171" i="1"/>
  <c r="CE171" i="1"/>
  <c r="CD171" i="1"/>
  <c r="BZ171" i="1"/>
  <c r="BY171" i="1"/>
  <c r="BX171" i="1"/>
  <c r="BW171" i="1"/>
  <c r="BV171" i="1"/>
  <c r="BU171" i="1"/>
  <c r="BT171" i="1"/>
  <c r="BS171" i="1"/>
  <c r="BR171" i="1"/>
  <c r="BQ171" i="1"/>
  <c r="BP171" i="1"/>
  <c r="BM171" i="1"/>
  <c r="BJ171" i="1"/>
  <c r="BI171" i="1"/>
  <c r="BH171" i="1"/>
  <c r="BF171" i="1"/>
  <c r="BE171" i="1"/>
  <c r="BD171" i="1"/>
  <c r="BA171" i="1"/>
  <c r="AY171" i="1"/>
  <c r="AX171" i="1"/>
  <c r="AW171" i="1"/>
  <c r="AT171" i="1"/>
  <c r="AS171" i="1"/>
  <c r="AR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O171" i="1"/>
  <c r="N171" i="1"/>
  <c r="M171" i="1"/>
  <c r="L171" i="1"/>
  <c r="K171" i="1"/>
  <c r="J171" i="1"/>
  <c r="H171" i="1"/>
  <c r="G171" i="1"/>
  <c r="CY170" i="1"/>
  <c r="CL170" i="1"/>
  <c r="CC170" i="1"/>
  <c r="BO170" i="1"/>
  <c r="BL170" i="1"/>
  <c r="BG170" i="1"/>
  <c r="BC170" i="1"/>
  <c r="AE170" i="1"/>
  <c r="U170" i="1"/>
  <c r="P170" i="1"/>
  <c r="I170" i="1"/>
  <c r="CY169" i="1"/>
  <c r="CL169" i="1"/>
  <c r="CC169" i="1"/>
  <c r="BO169" i="1"/>
  <c r="BL169" i="1"/>
  <c r="BG169" i="1"/>
  <c r="BC169" i="1"/>
  <c r="AE169" i="1"/>
  <c r="U169" i="1"/>
  <c r="P169" i="1"/>
  <c r="I169" i="1"/>
  <c r="DA168" i="1"/>
  <c r="CZ168" i="1"/>
  <c r="CT168" i="1"/>
  <c r="CO168" i="1"/>
  <c r="CM168" i="1"/>
  <c r="CJ168" i="1"/>
  <c r="CG168" i="1"/>
  <c r="CE168" i="1"/>
  <c r="CD168" i="1"/>
  <c r="BZ168" i="1"/>
  <c r="BY168" i="1"/>
  <c r="BX168" i="1"/>
  <c r="BW168" i="1"/>
  <c r="BV168" i="1"/>
  <c r="BU168" i="1"/>
  <c r="BT168" i="1"/>
  <c r="BS168" i="1"/>
  <c r="BR168" i="1"/>
  <c r="BQ168" i="1"/>
  <c r="BP168" i="1"/>
  <c r="BM168" i="1"/>
  <c r="BJ168" i="1"/>
  <c r="BI168" i="1"/>
  <c r="BH168" i="1"/>
  <c r="BF168" i="1"/>
  <c r="BE168" i="1"/>
  <c r="BD168" i="1"/>
  <c r="BA168" i="1"/>
  <c r="AY168" i="1"/>
  <c r="AX168" i="1"/>
  <c r="AW168" i="1"/>
  <c r="AV168" i="1"/>
  <c r="AU168" i="1"/>
  <c r="AT168" i="1"/>
  <c r="AS168" i="1"/>
  <c r="AR168" i="1"/>
  <c r="AP168" i="1"/>
  <c r="AO168" i="1"/>
  <c r="AN168" i="1"/>
  <c r="AM168" i="1"/>
  <c r="AL168" i="1"/>
  <c r="AK168" i="1"/>
  <c r="AJ168" i="1"/>
  <c r="AI168" i="1"/>
  <c r="AH168" i="1"/>
  <c r="AG168" i="1"/>
  <c r="AF168" i="1"/>
  <c r="AC168" i="1"/>
  <c r="AB168" i="1"/>
  <c r="AA168" i="1"/>
  <c r="Z168" i="1"/>
  <c r="Y168" i="1"/>
  <c r="X168" i="1"/>
  <c r="W168" i="1"/>
  <c r="V168" i="1"/>
  <c r="T168" i="1"/>
  <c r="S168" i="1"/>
  <c r="R168" i="1"/>
  <c r="Q168" i="1"/>
  <c r="O168" i="1"/>
  <c r="N168" i="1"/>
  <c r="M168" i="1"/>
  <c r="L168" i="1"/>
  <c r="K168" i="1"/>
  <c r="J168" i="1"/>
  <c r="G168" i="1"/>
  <c r="CY167" i="1"/>
  <c r="CL167" i="1"/>
  <c r="CC167" i="1"/>
  <c r="BO167" i="1"/>
  <c r="BL167" i="1"/>
  <c r="BG167" i="1"/>
  <c r="BC167" i="1"/>
  <c r="AE167" i="1"/>
  <c r="U167" i="1"/>
  <c r="P167" i="1"/>
  <c r="I167" i="1"/>
  <c r="CY166" i="1"/>
  <c r="CL166" i="1"/>
  <c r="CC166" i="1"/>
  <c r="BO166" i="1"/>
  <c r="BL166" i="1"/>
  <c r="BG166" i="1"/>
  <c r="BC166" i="1"/>
  <c r="AE166" i="1"/>
  <c r="U166" i="1"/>
  <c r="P166" i="1"/>
  <c r="DA165" i="1"/>
  <c r="CZ165" i="1"/>
  <c r="CT165" i="1"/>
  <c r="CQ165" i="1"/>
  <c r="CO165" i="1"/>
  <c r="CM165" i="1"/>
  <c r="CJ165" i="1"/>
  <c r="CG165" i="1"/>
  <c r="CE165" i="1"/>
  <c r="CD165" i="1"/>
  <c r="BZ165" i="1"/>
  <c r="BY165" i="1"/>
  <c r="BX165" i="1"/>
  <c r="BW165" i="1"/>
  <c r="BV165" i="1"/>
  <c r="BU165" i="1"/>
  <c r="BT165" i="1"/>
  <c r="BS165" i="1"/>
  <c r="BR165" i="1"/>
  <c r="BQ165" i="1"/>
  <c r="BP165" i="1"/>
  <c r="BM165" i="1"/>
  <c r="BJ165" i="1"/>
  <c r="BI165" i="1"/>
  <c r="BH165" i="1"/>
  <c r="BF165" i="1"/>
  <c r="BE165" i="1"/>
  <c r="BD165" i="1"/>
  <c r="BA165" i="1"/>
  <c r="AY165" i="1"/>
  <c r="AX165" i="1"/>
  <c r="AW165" i="1"/>
  <c r="AV165" i="1"/>
  <c r="AU165" i="1"/>
  <c r="AT165" i="1"/>
  <c r="AS165" i="1"/>
  <c r="AR165" i="1"/>
  <c r="AP165" i="1"/>
  <c r="AO165" i="1"/>
  <c r="AN165" i="1"/>
  <c r="AM165" i="1"/>
  <c r="AL165" i="1"/>
  <c r="AK165" i="1"/>
  <c r="AJ165" i="1"/>
  <c r="AI165" i="1"/>
  <c r="AH165" i="1"/>
  <c r="AG165" i="1"/>
  <c r="AF165" i="1"/>
  <c r="AC165" i="1"/>
  <c r="AB165" i="1"/>
  <c r="AA165" i="1"/>
  <c r="Z165" i="1"/>
  <c r="Y165" i="1"/>
  <c r="X165" i="1"/>
  <c r="W165" i="1"/>
  <c r="V165" i="1"/>
  <c r="T165" i="1"/>
  <c r="S165" i="1"/>
  <c r="R165" i="1"/>
  <c r="Q165" i="1"/>
  <c r="N165" i="1"/>
  <c r="M165" i="1"/>
  <c r="L165" i="1"/>
  <c r="K165" i="1"/>
  <c r="J165" i="1"/>
  <c r="H165" i="1"/>
  <c r="G165" i="1"/>
  <c r="CY164" i="1"/>
  <c r="CL164" i="1"/>
  <c r="CC164" i="1"/>
  <c r="BO164" i="1"/>
  <c r="BL164" i="1"/>
  <c r="BG164" i="1"/>
  <c r="BC164" i="1"/>
  <c r="AE164" i="1"/>
  <c r="U164" i="1"/>
  <c r="P164" i="1"/>
  <c r="O163" i="1"/>
  <c r="L163" i="1"/>
  <c r="K163" i="1"/>
  <c r="DA163" i="1"/>
  <c r="CZ163" i="1"/>
  <c r="CT163" i="1"/>
  <c r="CO163" i="1"/>
  <c r="CM163" i="1"/>
  <c r="CJ163" i="1"/>
  <c r="CG163" i="1"/>
  <c r="CD163" i="1"/>
  <c r="BZ163" i="1"/>
  <c r="BY163" i="1"/>
  <c r="BX163" i="1"/>
  <c r="BW163" i="1"/>
  <c r="BV163" i="1"/>
  <c r="BU163" i="1"/>
  <c r="BT163" i="1"/>
  <c r="BS163" i="1"/>
  <c r="BR163" i="1"/>
  <c r="BQ163" i="1"/>
  <c r="BP163" i="1"/>
  <c r="BM163" i="1"/>
  <c r="BJ163" i="1"/>
  <c r="BI163" i="1"/>
  <c r="BH163" i="1"/>
  <c r="BF163" i="1"/>
  <c r="BE163" i="1"/>
  <c r="BD163" i="1"/>
  <c r="BA163" i="1"/>
  <c r="AY163" i="1"/>
  <c r="AX163" i="1"/>
  <c r="AW163" i="1"/>
  <c r="AV163" i="1"/>
  <c r="AU163" i="1"/>
  <c r="AT163" i="1"/>
  <c r="AS163" i="1"/>
  <c r="AR163" i="1"/>
  <c r="AP163" i="1"/>
  <c r="AO163" i="1"/>
  <c r="AN163" i="1"/>
  <c r="AM163" i="1"/>
  <c r="AL163" i="1"/>
  <c r="AK163" i="1"/>
  <c r="AJ163" i="1"/>
  <c r="AH163" i="1"/>
  <c r="AG163" i="1"/>
  <c r="AF163" i="1"/>
  <c r="AC163" i="1"/>
  <c r="AB163" i="1"/>
  <c r="AA163" i="1"/>
  <c r="Z163" i="1"/>
  <c r="Y163" i="1"/>
  <c r="X163" i="1"/>
  <c r="W163" i="1"/>
  <c r="V163" i="1"/>
  <c r="T163" i="1"/>
  <c r="S163" i="1"/>
  <c r="R163" i="1"/>
  <c r="Q163" i="1"/>
  <c r="N163" i="1"/>
  <c r="M163" i="1"/>
  <c r="H163" i="1"/>
  <c r="G163" i="1"/>
  <c r="CY159" i="1"/>
  <c r="CC159" i="1"/>
  <c r="BO159" i="1"/>
  <c r="BL159" i="1"/>
  <c r="BG159" i="1"/>
  <c r="BC159" i="1"/>
  <c r="P159" i="1"/>
  <c r="CY158" i="1"/>
  <c r="CL158" i="1"/>
  <c r="CC158" i="1"/>
  <c r="BO158" i="1"/>
  <c r="BL158" i="1"/>
  <c r="BG158" i="1"/>
  <c r="BC158" i="1"/>
  <c r="AE158" i="1"/>
  <c r="U158" i="1"/>
  <c r="P158" i="1"/>
  <c r="I158" i="1"/>
  <c r="DA157" i="1"/>
  <c r="CZ157" i="1"/>
  <c r="CT157" i="1"/>
  <c r="CO157" i="1"/>
  <c r="CJ157" i="1"/>
  <c r="CG157" i="1"/>
  <c r="CE157" i="1"/>
  <c r="CD157" i="1"/>
  <c r="BZ157" i="1"/>
  <c r="BY157" i="1"/>
  <c r="BX157" i="1"/>
  <c r="BW157" i="1"/>
  <c r="BV157" i="1"/>
  <c r="BU157" i="1"/>
  <c r="BT157" i="1"/>
  <c r="BS157" i="1"/>
  <c r="BR157" i="1"/>
  <c r="BQ157" i="1"/>
  <c r="BP157" i="1"/>
  <c r="BM157" i="1"/>
  <c r="BJ157" i="1"/>
  <c r="BI157" i="1"/>
  <c r="BH157" i="1"/>
  <c r="BF157" i="1"/>
  <c r="BE157" i="1"/>
  <c r="BD157" i="1"/>
  <c r="BA157" i="1"/>
  <c r="AY157" i="1"/>
  <c r="AX157" i="1"/>
  <c r="AW157" i="1"/>
  <c r="AT157" i="1"/>
  <c r="AS157" i="1"/>
  <c r="AR157" i="1"/>
  <c r="AP157" i="1"/>
  <c r="AO157" i="1"/>
  <c r="AM157" i="1"/>
  <c r="AL157" i="1"/>
  <c r="AK157" i="1"/>
  <c r="AJ157" i="1"/>
  <c r="AG157" i="1"/>
  <c r="AF157" i="1"/>
  <c r="AC157" i="1"/>
  <c r="AB157" i="1"/>
  <c r="AA157" i="1"/>
  <c r="Z157" i="1"/>
  <c r="Y157" i="1"/>
  <c r="X157" i="1"/>
  <c r="W157" i="1"/>
  <c r="V157" i="1"/>
  <c r="S157" i="1"/>
  <c r="R157" i="1"/>
  <c r="Q157" i="1"/>
  <c r="O157" i="1"/>
  <c r="M157" i="1"/>
  <c r="L157" i="1"/>
  <c r="K157" i="1"/>
  <c r="J157" i="1"/>
  <c r="CY156" i="1"/>
  <c r="CL156" i="1"/>
  <c r="CC156" i="1"/>
  <c r="BO156" i="1"/>
  <c r="BL156" i="1"/>
  <c r="BG156" i="1"/>
  <c r="BC156" i="1"/>
  <c r="U156" i="1"/>
  <c r="P156" i="1"/>
  <c r="I156" i="1"/>
  <c r="DA154" i="1"/>
  <c r="CZ154" i="1"/>
  <c r="CT154" i="1"/>
  <c r="CO154" i="1"/>
  <c r="CM154" i="1"/>
  <c r="CJ154" i="1"/>
  <c r="CG154" i="1"/>
  <c r="CD154" i="1"/>
  <c r="BZ154" i="1"/>
  <c r="BY154" i="1"/>
  <c r="BX154" i="1"/>
  <c r="BW154" i="1"/>
  <c r="BV154" i="1"/>
  <c r="BU154" i="1"/>
  <c r="BT154" i="1"/>
  <c r="BS154" i="1"/>
  <c r="BR154" i="1"/>
  <c r="BQ154" i="1"/>
  <c r="BP154" i="1"/>
  <c r="BM154" i="1"/>
  <c r="BJ154" i="1"/>
  <c r="BI154" i="1"/>
  <c r="BH154" i="1"/>
  <c r="BF154" i="1"/>
  <c r="BE154" i="1"/>
  <c r="BD154" i="1"/>
  <c r="AY154" i="1"/>
  <c r="AX154" i="1"/>
  <c r="AW154" i="1"/>
  <c r="AT154" i="1"/>
  <c r="AR154" i="1"/>
  <c r="AP154" i="1"/>
  <c r="AO154" i="1"/>
  <c r="AN154" i="1"/>
  <c r="AM154" i="1"/>
  <c r="AL154" i="1"/>
  <c r="AK154" i="1"/>
  <c r="AJ154" i="1"/>
  <c r="AI154" i="1"/>
  <c r="AH154" i="1"/>
  <c r="AG154" i="1"/>
  <c r="AF154" i="1"/>
  <c r="AC154" i="1"/>
  <c r="AB154" i="1"/>
  <c r="AA154" i="1"/>
  <c r="Z154" i="1"/>
  <c r="Y154" i="1"/>
  <c r="W154" i="1"/>
  <c r="V154" i="1"/>
  <c r="S154" i="1"/>
  <c r="Q154" i="1"/>
  <c r="M154" i="1"/>
  <c r="L154" i="1"/>
  <c r="K154" i="1"/>
  <c r="J154" i="1"/>
  <c r="CY152" i="1"/>
  <c r="CL152" i="1"/>
  <c r="CC152" i="1"/>
  <c r="BO152" i="1"/>
  <c r="BL152" i="1"/>
  <c r="BG152" i="1"/>
  <c r="BC152" i="1"/>
  <c r="AE152" i="1"/>
  <c r="U152" i="1"/>
  <c r="P152" i="1"/>
  <c r="I152" i="1"/>
  <c r="CY151" i="1"/>
  <c r="CL151" i="1"/>
  <c r="CC151" i="1"/>
  <c r="BO151" i="1"/>
  <c r="BL151" i="1"/>
  <c r="BG151" i="1"/>
  <c r="BC151" i="1"/>
  <c r="AE151" i="1"/>
  <c r="U151" i="1"/>
  <c r="P151" i="1"/>
  <c r="I151" i="1"/>
  <c r="CY150" i="1"/>
  <c r="CL150" i="1"/>
  <c r="CC150" i="1"/>
  <c r="BO150" i="1"/>
  <c r="BL150" i="1"/>
  <c r="BG150" i="1"/>
  <c r="BC150" i="1"/>
  <c r="AE150" i="1"/>
  <c r="U150" i="1"/>
  <c r="P150" i="1"/>
  <c r="I150" i="1"/>
  <c r="CY149" i="1"/>
  <c r="CL149" i="1"/>
  <c r="CC149" i="1"/>
  <c r="BO149" i="1"/>
  <c r="BL149" i="1"/>
  <c r="BG149" i="1"/>
  <c r="BC149" i="1"/>
  <c r="AE149" i="1"/>
  <c r="U149" i="1"/>
  <c r="P149" i="1"/>
  <c r="I149" i="1"/>
  <c r="CY148" i="1"/>
  <c r="CL148" i="1"/>
  <c r="BO148" i="1"/>
  <c r="BL148" i="1"/>
  <c r="BG148" i="1"/>
  <c r="BC148" i="1"/>
  <c r="U148" i="1"/>
  <c r="P148" i="1"/>
  <c r="DA147" i="1"/>
  <c r="CZ147" i="1"/>
  <c r="CT147" i="1"/>
  <c r="CO147" i="1"/>
  <c r="CM147" i="1"/>
  <c r="CJ147" i="1"/>
  <c r="CG147" i="1"/>
  <c r="CD147" i="1"/>
  <c r="BZ147" i="1"/>
  <c r="BY147" i="1"/>
  <c r="BX147" i="1"/>
  <c r="BW147" i="1"/>
  <c r="BV147" i="1"/>
  <c r="BU147" i="1"/>
  <c r="BT147" i="1"/>
  <c r="BS147" i="1"/>
  <c r="BR147" i="1"/>
  <c r="BQ147" i="1"/>
  <c r="BP147" i="1"/>
  <c r="BM147" i="1"/>
  <c r="BJ147" i="1"/>
  <c r="BI147" i="1"/>
  <c r="BH147" i="1"/>
  <c r="BF147" i="1"/>
  <c r="BE147" i="1"/>
  <c r="BD147" i="1"/>
  <c r="AY147" i="1"/>
  <c r="AX147" i="1"/>
  <c r="AW147" i="1"/>
  <c r="AR147" i="1"/>
  <c r="AP147" i="1"/>
  <c r="AO147" i="1"/>
  <c r="AN147" i="1"/>
  <c r="AM147" i="1"/>
  <c r="AL147" i="1"/>
  <c r="AK147" i="1"/>
  <c r="AJ147" i="1"/>
  <c r="AI147" i="1"/>
  <c r="AH147" i="1"/>
  <c r="AG147" i="1"/>
  <c r="AF147" i="1"/>
  <c r="AC147" i="1"/>
  <c r="AB147" i="1"/>
  <c r="AA147" i="1"/>
  <c r="Z147" i="1"/>
  <c r="Y147" i="1"/>
  <c r="X147" i="1"/>
  <c r="W147" i="1"/>
  <c r="V147" i="1"/>
  <c r="T147" i="1"/>
  <c r="S147" i="1"/>
  <c r="R147" i="1"/>
  <c r="Q147" i="1"/>
  <c r="M147" i="1"/>
  <c r="L147" i="1"/>
  <c r="K147" i="1"/>
  <c r="G147" i="1"/>
  <c r="CY146" i="1"/>
  <c r="CL146" i="1"/>
  <c r="CC146" i="1"/>
  <c r="BO146" i="1"/>
  <c r="BL146" i="1"/>
  <c r="BG146" i="1"/>
  <c r="BC146" i="1"/>
  <c r="AE146" i="1"/>
  <c r="U146" i="1"/>
  <c r="P146" i="1"/>
  <c r="I146" i="1"/>
  <c r="CY145" i="1"/>
  <c r="CL145" i="1"/>
  <c r="CC145" i="1"/>
  <c r="BO145" i="1"/>
  <c r="BL145" i="1"/>
  <c r="BG145" i="1"/>
  <c r="BC145" i="1"/>
  <c r="AE145" i="1"/>
  <c r="U145" i="1"/>
  <c r="P145" i="1"/>
  <c r="I145" i="1"/>
  <c r="DA144" i="1"/>
  <c r="CZ144" i="1"/>
  <c r="CT144" i="1"/>
  <c r="CO144" i="1"/>
  <c r="CM144" i="1"/>
  <c r="CJ144" i="1"/>
  <c r="CG144" i="1"/>
  <c r="CE144" i="1"/>
  <c r="CD144" i="1"/>
  <c r="BZ144" i="1"/>
  <c r="BY144" i="1"/>
  <c r="BX144" i="1"/>
  <c r="BW144" i="1"/>
  <c r="BV144" i="1"/>
  <c r="BU144" i="1"/>
  <c r="BT144" i="1"/>
  <c r="BS144" i="1"/>
  <c r="BR144" i="1"/>
  <c r="BQ144" i="1"/>
  <c r="BP144" i="1"/>
  <c r="BM144" i="1"/>
  <c r="BJ144" i="1"/>
  <c r="BI144" i="1"/>
  <c r="BH144" i="1"/>
  <c r="BF144" i="1"/>
  <c r="BE144" i="1"/>
  <c r="BD144" i="1"/>
  <c r="BA144" i="1"/>
  <c r="AY144" i="1"/>
  <c r="AX144" i="1"/>
  <c r="AW144" i="1"/>
  <c r="AT144" i="1"/>
  <c r="AS144" i="1"/>
  <c r="AR144" i="1"/>
  <c r="AP144" i="1"/>
  <c r="AO144" i="1"/>
  <c r="AN144" i="1"/>
  <c r="AM144" i="1"/>
  <c r="AL144" i="1"/>
  <c r="AK144" i="1"/>
  <c r="AJ144" i="1"/>
  <c r="AI144" i="1"/>
  <c r="AH144" i="1"/>
  <c r="AG144" i="1"/>
  <c r="AF144" i="1"/>
  <c r="AC144" i="1"/>
  <c r="AB144" i="1"/>
  <c r="AA144" i="1"/>
  <c r="Z144" i="1"/>
  <c r="Y144" i="1"/>
  <c r="X144" i="1"/>
  <c r="W144" i="1"/>
  <c r="V144" i="1"/>
  <c r="T144" i="1"/>
  <c r="S144" i="1"/>
  <c r="R144" i="1"/>
  <c r="Q144" i="1"/>
  <c r="O144" i="1"/>
  <c r="N144" i="1"/>
  <c r="M144" i="1"/>
  <c r="L144" i="1"/>
  <c r="K144" i="1"/>
  <c r="J144" i="1"/>
  <c r="H144" i="1"/>
  <c r="G144" i="1"/>
  <c r="CY143" i="1"/>
  <c r="CL143" i="1"/>
  <c r="CC143" i="1"/>
  <c r="BO143" i="1"/>
  <c r="BL143" i="1"/>
  <c r="BG143" i="1"/>
  <c r="BC143" i="1"/>
  <c r="AE143" i="1"/>
  <c r="U143" i="1"/>
  <c r="P143" i="1"/>
  <c r="I143" i="1"/>
  <c r="CY142" i="1"/>
  <c r="CL142" i="1"/>
  <c r="CC142" i="1"/>
  <c r="BO142" i="1"/>
  <c r="BL142" i="1"/>
  <c r="BG142" i="1"/>
  <c r="BC142" i="1"/>
  <c r="AE142" i="1"/>
  <c r="U142" i="1"/>
  <c r="P142" i="1"/>
  <c r="I142" i="1"/>
  <c r="CY141" i="1"/>
  <c r="CL141" i="1"/>
  <c r="CC141" i="1"/>
  <c r="BO141" i="1"/>
  <c r="BL141" i="1"/>
  <c r="BG141" i="1"/>
  <c r="BC141" i="1"/>
  <c r="AE141" i="1"/>
  <c r="U141" i="1"/>
  <c r="P141" i="1"/>
  <c r="I141" i="1"/>
  <c r="DA140" i="1"/>
  <c r="CZ140" i="1"/>
  <c r="CT140" i="1"/>
  <c r="CO140" i="1"/>
  <c r="CM140" i="1"/>
  <c r="CJ140" i="1"/>
  <c r="CG140" i="1"/>
  <c r="CE140" i="1"/>
  <c r="CD140" i="1"/>
  <c r="BZ140" i="1"/>
  <c r="BY140" i="1"/>
  <c r="BX140" i="1"/>
  <c r="BW140" i="1"/>
  <c r="BV140" i="1"/>
  <c r="BU140" i="1"/>
  <c r="BT140" i="1"/>
  <c r="BS140" i="1"/>
  <c r="BR140" i="1"/>
  <c r="BQ140" i="1"/>
  <c r="BP140" i="1"/>
  <c r="BM140" i="1"/>
  <c r="BJ140" i="1"/>
  <c r="BI140" i="1"/>
  <c r="BH140" i="1"/>
  <c r="BF140" i="1"/>
  <c r="BE140" i="1"/>
  <c r="BD140" i="1"/>
  <c r="BA140" i="1"/>
  <c r="AY140" i="1"/>
  <c r="AX140" i="1"/>
  <c r="AW140" i="1"/>
  <c r="AT140" i="1"/>
  <c r="AS140" i="1"/>
  <c r="AR140" i="1"/>
  <c r="AP140" i="1"/>
  <c r="AO140" i="1"/>
  <c r="AN140" i="1"/>
  <c r="AM140" i="1"/>
  <c r="AL140" i="1"/>
  <c r="AK140" i="1"/>
  <c r="AJ140" i="1"/>
  <c r="AI140" i="1"/>
  <c r="AH140" i="1"/>
  <c r="AG140" i="1"/>
  <c r="AF140" i="1"/>
  <c r="AC140" i="1"/>
  <c r="AB140" i="1"/>
  <c r="AA140" i="1"/>
  <c r="Z140" i="1"/>
  <c r="Y140" i="1"/>
  <c r="X140" i="1"/>
  <c r="W140" i="1"/>
  <c r="V140" i="1"/>
  <c r="T140" i="1"/>
  <c r="S140" i="1"/>
  <c r="R140" i="1"/>
  <c r="Q140" i="1"/>
  <c r="O140" i="1"/>
  <c r="N140" i="1"/>
  <c r="M140" i="1"/>
  <c r="L140" i="1"/>
  <c r="K140" i="1"/>
  <c r="J140" i="1"/>
  <c r="CY138" i="1"/>
  <c r="CL138" i="1"/>
  <c r="CC138" i="1"/>
  <c r="BO138" i="1"/>
  <c r="BL138" i="1"/>
  <c r="BG138" i="1"/>
  <c r="BC138" i="1"/>
  <c r="AE138" i="1"/>
  <c r="U138" i="1"/>
  <c r="P138" i="1"/>
  <c r="I138" i="1"/>
  <c r="CY137" i="1"/>
  <c r="CL137" i="1"/>
  <c r="CC137" i="1"/>
  <c r="BO137" i="1"/>
  <c r="BL137" i="1"/>
  <c r="BG137" i="1"/>
  <c r="BC137" i="1"/>
  <c r="AE137" i="1"/>
  <c r="U137" i="1"/>
  <c r="P137" i="1"/>
  <c r="I137" i="1"/>
  <c r="CY136" i="1"/>
  <c r="CL136" i="1"/>
  <c r="CC136" i="1"/>
  <c r="BO136" i="1"/>
  <c r="BL136" i="1"/>
  <c r="BG136" i="1"/>
  <c r="BC136" i="1"/>
  <c r="AE136" i="1"/>
  <c r="U136" i="1"/>
  <c r="P136" i="1"/>
  <c r="I136" i="1"/>
  <c r="DA135" i="1"/>
  <c r="CZ135" i="1"/>
  <c r="CT135" i="1"/>
  <c r="CO135" i="1"/>
  <c r="CM135" i="1"/>
  <c r="CJ135" i="1"/>
  <c r="CG135" i="1"/>
  <c r="CE135" i="1"/>
  <c r="CD135" i="1"/>
  <c r="BZ135" i="1"/>
  <c r="BY135" i="1"/>
  <c r="BX135" i="1"/>
  <c r="BW135" i="1"/>
  <c r="BV135" i="1"/>
  <c r="BU135" i="1"/>
  <c r="BT135" i="1"/>
  <c r="BS135" i="1"/>
  <c r="BR135" i="1"/>
  <c r="BQ135" i="1"/>
  <c r="BP135" i="1"/>
  <c r="BM135" i="1"/>
  <c r="BJ135" i="1"/>
  <c r="BI135" i="1"/>
  <c r="BH135" i="1"/>
  <c r="BF135" i="1"/>
  <c r="BE135" i="1"/>
  <c r="BD135" i="1"/>
  <c r="BA135" i="1"/>
  <c r="AY135" i="1"/>
  <c r="AX135" i="1"/>
  <c r="AW135" i="1"/>
  <c r="AT135" i="1"/>
  <c r="AS135" i="1"/>
  <c r="AR135" i="1"/>
  <c r="AP135" i="1"/>
  <c r="AO135" i="1"/>
  <c r="AN135" i="1"/>
  <c r="AM135" i="1"/>
  <c r="AL135" i="1"/>
  <c r="AK135" i="1"/>
  <c r="AJ135" i="1"/>
  <c r="AI135" i="1"/>
  <c r="AH135" i="1"/>
  <c r="AG135" i="1"/>
  <c r="AF135" i="1"/>
  <c r="AC135" i="1"/>
  <c r="AB135" i="1"/>
  <c r="AA135" i="1"/>
  <c r="Z135" i="1"/>
  <c r="Y135" i="1"/>
  <c r="X135" i="1"/>
  <c r="W135" i="1"/>
  <c r="V135" i="1"/>
  <c r="T135" i="1"/>
  <c r="S135" i="1"/>
  <c r="R135" i="1"/>
  <c r="Q135" i="1"/>
  <c r="O135" i="1"/>
  <c r="N135" i="1"/>
  <c r="M135" i="1"/>
  <c r="L135" i="1"/>
  <c r="K135" i="1"/>
  <c r="J135" i="1"/>
  <c r="H135" i="1"/>
  <c r="G135" i="1"/>
  <c r="CY134" i="1"/>
  <c r="CL134" i="1"/>
  <c r="CC134" i="1"/>
  <c r="BO134" i="1"/>
  <c r="BL134" i="1"/>
  <c r="BG134" i="1"/>
  <c r="BC134" i="1"/>
  <c r="AE134" i="1"/>
  <c r="U134" i="1"/>
  <c r="P134" i="1"/>
  <c r="I134" i="1"/>
  <c r="DA133" i="1"/>
  <c r="CZ133" i="1"/>
  <c r="CT133" i="1"/>
  <c r="CO133" i="1"/>
  <c r="CM133" i="1"/>
  <c r="CJ133" i="1"/>
  <c r="CG133" i="1"/>
  <c r="CE133" i="1"/>
  <c r="CD133" i="1"/>
  <c r="BZ133" i="1"/>
  <c r="BY133" i="1"/>
  <c r="BX133" i="1"/>
  <c r="BW133" i="1"/>
  <c r="BV133" i="1"/>
  <c r="BU133" i="1"/>
  <c r="BT133" i="1"/>
  <c r="BS133" i="1"/>
  <c r="BR133" i="1"/>
  <c r="BQ133" i="1"/>
  <c r="BP133" i="1"/>
  <c r="BM133" i="1"/>
  <c r="BJ133" i="1"/>
  <c r="BI133" i="1"/>
  <c r="BH133" i="1"/>
  <c r="BF133" i="1"/>
  <c r="BE133" i="1"/>
  <c r="BD133" i="1"/>
  <c r="BA133" i="1"/>
  <c r="AY133" i="1"/>
  <c r="AX133" i="1"/>
  <c r="AW133" i="1"/>
  <c r="AT133" i="1"/>
  <c r="AS133" i="1"/>
  <c r="AR133" i="1"/>
  <c r="AP133" i="1"/>
  <c r="AO133" i="1"/>
  <c r="AN133" i="1"/>
  <c r="AM133" i="1"/>
  <c r="AL133" i="1"/>
  <c r="AK133" i="1"/>
  <c r="AJ133" i="1"/>
  <c r="AI133" i="1"/>
  <c r="AH133" i="1"/>
  <c r="AG133" i="1"/>
  <c r="AF133" i="1"/>
  <c r="AC133" i="1"/>
  <c r="AB133" i="1"/>
  <c r="AA133" i="1"/>
  <c r="Z133" i="1"/>
  <c r="Y133" i="1"/>
  <c r="X133" i="1"/>
  <c r="W133" i="1"/>
  <c r="V133" i="1"/>
  <c r="T133" i="1"/>
  <c r="S133" i="1"/>
  <c r="R133" i="1"/>
  <c r="Q133" i="1"/>
  <c r="O133" i="1"/>
  <c r="N133" i="1"/>
  <c r="M133" i="1"/>
  <c r="L133" i="1"/>
  <c r="K133" i="1"/>
  <c r="J133" i="1"/>
  <c r="G133" i="1"/>
  <c r="CY132" i="1"/>
  <c r="CL132" i="1"/>
  <c r="CC132" i="1"/>
  <c r="BO132" i="1"/>
  <c r="BL132" i="1"/>
  <c r="BG132" i="1"/>
  <c r="BC132" i="1"/>
  <c r="AE132" i="1"/>
  <c r="U132" i="1"/>
  <c r="P132" i="1"/>
  <c r="I132" i="1"/>
  <c r="DA131" i="1"/>
  <c r="CZ131" i="1"/>
  <c r="CT131" i="1"/>
  <c r="CO131" i="1"/>
  <c r="CM131" i="1"/>
  <c r="CJ131" i="1"/>
  <c r="CG131" i="1"/>
  <c r="CE131" i="1"/>
  <c r="CD131" i="1"/>
  <c r="BZ131" i="1"/>
  <c r="BY131" i="1"/>
  <c r="BX131" i="1"/>
  <c r="BW131" i="1"/>
  <c r="BV131" i="1"/>
  <c r="BU131" i="1"/>
  <c r="BT131" i="1"/>
  <c r="BS131" i="1"/>
  <c r="BR131" i="1"/>
  <c r="BQ131" i="1"/>
  <c r="BP131" i="1"/>
  <c r="BM131" i="1"/>
  <c r="BJ131" i="1"/>
  <c r="BI131" i="1"/>
  <c r="BH131" i="1"/>
  <c r="BF131" i="1"/>
  <c r="BE131" i="1"/>
  <c r="BD131" i="1"/>
  <c r="BA131" i="1"/>
  <c r="AY131" i="1"/>
  <c r="AX131" i="1"/>
  <c r="AW131" i="1"/>
  <c r="AT131" i="1"/>
  <c r="AS131" i="1"/>
  <c r="AR131" i="1"/>
  <c r="AP131" i="1"/>
  <c r="AO131" i="1"/>
  <c r="AN131" i="1"/>
  <c r="AM131" i="1"/>
  <c r="AL131" i="1"/>
  <c r="AK131" i="1"/>
  <c r="AJ131" i="1"/>
  <c r="AI131" i="1"/>
  <c r="AH131" i="1"/>
  <c r="AG131" i="1"/>
  <c r="AF131" i="1"/>
  <c r="AC131" i="1"/>
  <c r="AB131" i="1"/>
  <c r="AA131" i="1"/>
  <c r="Z131" i="1"/>
  <c r="Y131" i="1"/>
  <c r="X131" i="1"/>
  <c r="W131" i="1"/>
  <c r="V131" i="1"/>
  <c r="T131" i="1"/>
  <c r="S131" i="1"/>
  <c r="R131" i="1"/>
  <c r="Q131" i="1"/>
  <c r="O131" i="1"/>
  <c r="N131" i="1"/>
  <c r="M131" i="1"/>
  <c r="L131" i="1"/>
  <c r="K131" i="1"/>
  <c r="J131" i="1"/>
  <c r="CY130" i="1"/>
  <c r="CL130" i="1"/>
  <c r="CC130" i="1"/>
  <c r="BO130" i="1"/>
  <c r="BL130" i="1"/>
  <c r="BG130" i="1"/>
  <c r="BC130" i="1"/>
  <c r="U130" i="1"/>
  <c r="P130" i="1"/>
  <c r="I130" i="1"/>
  <c r="H127" i="1"/>
  <c r="G127" i="1"/>
  <c r="CY129" i="1"/>
  <c r="CL129" i="1"/>
  <c r="CC129" i="1"/>
  <c r="BO129" i="1"/>
  <c r="BL129" i="1"/>
  <c r="BG129" i="1"/>
  <c r="BC129" i="1"/>
  <c r="AE129" i="1"/>
  <c r="U129" i="1"/>
  <c r="P129" i="1"/>
  <c r="I129" i="1"/>
  <c r="CY128" i="1"/>
  <c r="CL128" i="1"/>
  <c r="CC128" i="1"/>
  <c r="BO128" i="1"/>
  <c r="BL128" i="1"/>
  <c r="BG128" i="1"/>
  <c r="BC128" i="1"/>
  <c r="AE128" i="1"/>
  <c r="U128" i="1"/>
  <c r="P128" i="1"/>
  <c r="I128" i="1"/>
  <c r="DA127" i="1"/>
  <c r="CZ127" i="1"/>
  <c r="CT127" i="1"/>
  <c r="CO127" i="1"/>
  <c r="CM127" i="1"/>
  <c r="CJ127" i="1"/>
  <c r="CG127" i="1"/>
  <c r="CD127" i="1"/>
  <c r="BZ127" i="1"/>
  <c r="BY127" i="1"/>
  <c r="BX127" i="1"/>
  <c r="BW127" i="1"/>
  <c r="BV127" i="1"/>
  <c r="BU127" i="1"/>
  <c r="BT127" i="1"/>
  <c r="BS127" i="1"/>
  <c r="BR127" i="1"/>
  <c r="BQ127" i="1"/>
  <c r="BP127" i="1"/>
  <c r="BM127" i="1"/>
  <c r="BJ127" i="1"/>
  <c r="BI127" i="1"/>
  <c r="BH127" i="1"/>
  <c r="BF127" i="1"/>
  <c r="BE127" i="1"/>
  <c r="BD127" i="1"/>
  <c r="BA127" i="1"/>
  <c r="AY127" i="1"/>
  <c r="AX127" i="1"/>
  <c r="AW127" i="1"/>
  <c r="AS127" i="1"/>
  <c r="AR127" i="1"/>
  <c r="AP127" i="1"/>
  <c r="AO127" i="1"/>
  <c r="AN127" i="1"/>
  <c r="AM127" i="1"/>
  <c r="AL127" i="1"/>
  <c r="AK127" i="1"/>
  <c r="AJ127" i="1"/>
  <c r="AI127" i="1"/>
  <c r="AH127" i="1"/>
  <c r="AG127" i="1"/>
  <c r="AF127" i="1"/>
  <c r="AC127" i="1"/>
  <c r="AB127" i="1"/>
  <c r="AA127" i="1"/>
  <c r="Z127" i="1"/>
  <c r="Y127" i="1"/>
  <c r="X127" i="1"/>
  <c r="W127" i="1"/>
  <c r="V127" i="1"/>
  <c r="T127" i="1"/>
  <c r="S127" i="1"/>
  <c r="R127" i="1"/>
  <c r="Q127" i="1"/>
  <c r="O127" i="1"/>
  <c r="N127" i="1"/>
  <c r="M127" i="1"/>
  <c r="L127" i="1"/>
  <c r="K127" i="1"/>
  <c r="J127" i="1"/>
  <c r="CY126" i="1"/>
  <c r="CL126" i="1"/>
  <c r="CC126" i="1"/>
  <c r="BO126" i="1"/>
  <c r="BL126" i="1"/>
  <c r="BG126" i="1"/>
  <c r="BC126" i="1"/>
  <c r="AE126" i="1"/>
  <c r="U126" i="1"/>
  <c r="P126" i="1"/>
  <c r="I126" i="1"/>
  <c r="CY125" i="1"/>
  <c r="CL125" i="1"/>
  <c r="BO125" i="1"/>
  <c r="BL125" i="1"/>
  <c r="BG125" i="1"/>
  <c r="BC125" i="1"/>
  <c r="U125" i="1"/>
  <c r="P125" i="1"/>
  <c r="I125" i="1"/>
  <c r="CY124" i="1"/>
  <c r="CL124" i="1"/>
  <c r="CC124" i="1"/>
  <c r="BO124" i="1"/>
  <c r="BL124" i="1"/>
  <c r="BG124" i="1"/>
  <c r="BC124" i="1"/>
  <c r="AE124" i="1"/>
  <c r="U124" i="1"/>
  <c r="P124" i="1"/>
  <c r="I124" i="1"/>
  <c r="DA123" i="1"/>
  <c r="CZ123" i="1"/>
  <c r="CT123" i="1"/>
  <c r="CO123" i="1"/>
  <c r="CM123" i="1"/>
  <c r="CJ123" i="1"/>
  <c r="CG123" i="1"/>
  <c r="CD123" i="1"/>
  <c r="BZ123" i="1"/>
  <c r="BY123" i="1"/>
  <c r="BX123" i="1"/>
  <c r="BW123" i="1"/>
  <c r="BV123" i="1"/>
  <c r="BU123" i="1"/>
  <c r="BT123" i="1"/>
  <c r="BS123" i="1"/>
  <c r="BR123" i="1"/>
  <c r="BQ123" i="1"/>
  <c r="BP123" i="1"/>
  <c r="BM123" i="1"/>
  <c r="BJ123" i="1"/>
  <c r="BI123" i="1"/>
  <c r="BH123" i="1"/>
  <c r="BF123" i="1"/>
  <c r="BE123" i="1"/>
  <c r="BD123" i="1"/>
  <c r="BA123" i="1"/>
  <c r="AY123" i="1"/>
  <c r="AX123" i="1"/>
  <c r="AW123" i="1"/>
  <c r="AT123" i="1"/>
  <c r="AS123" i="1"/>
  <c r="AR123" i="1"/>
  <c r="AP123" i="1"/>
  <c r="AO123" i="1"/>
  <c r="AN123" i="1"/>
  <c r="AL123" i="1"/>
  <c r="AH123" i="1"/>
  <c r="AG123" i="1"/>
  <c r="AF123" i="1"/>
  <c r="AC123" i="1"/>
  <c r="AB123" i="1"/>
  <c r="AA123" i="1"/>
  <c r="Z123" i="1"/>
  <c r="Y123" i="1"/>
  <c r="X123" i="1"/>
  <c r="W123" i="1"/>
  <c r="V123" i="1"/>
  <c r="T123" i="1"/>
  <c r="S123" i="1"/>
  <c r="R123" i="1"/>
  <c r="Q123" i="1"/>
  <c r="N123" i="1"/>
  <c r="M123" i="1"/>
  <c r="L123" i="1"/>
  <c r="K123" i="1"/>
  <c r="J123" i="1"/>
  <c r="H123" i="1"/>
  <c r="CY122" i="1"/>
  <c r="CL122" i="1"/>
  <c r="CC122" i="1"/>
  <c r="BO122" i="1"/>
  <c r="BL122" i="1"/>
  <c r="BG122" i="1"/>
  <c r="BC122" i="1"/>
  <c r="AE122" i="1"/>
  <c r="U122" i="1"/>
  <c r="P122" i="1"/>
  <c r="I122" i="1"/>
  <c r="CY121" i="1"/>
  <c r="CL121" i="1"/>
  <c r="CC121" i="1"/>
  <c r="BO121" i="1"/>
  <c r="BL121" i="1"/>
  <c r="BG121" i="1"/>
  <c r="BC121" i="1"/>
  <c r="AE121" i="1"/>
  <c r="U121" i="1"/>
  <c r="P121" i="1"/>
  <c r="I121" i="1"/>
  <c r="CY120" i="1"/>
  <c r="CL120" i="1"/>
  <c r="CC120" i="1"/>
  <c r="BO120" i="1"/>
  <c r="BL120" i="1"/>
  <c r="BG120" i="1"/>
  <c r="BC120" i="1"/>
  <c r="AE120" i="1"/>
  <c r="U120" i="1"/>
  <c r="P120" i="1"/>
  <c r="I120" i="1"/>
  <c r="DA119" i="1"/>
  <c r="CZ119" i="1"/>
  <c r="CT119" i="1"/>
  <c r="CO119" i="1"/>
  <c r="CM119" i="1"/>
  <c r="CJ119" i="1"/>
  <c r="CG119" i="1"/>
  <c r="CE119" i="1"/>
  <c r="CD119" i="1"/>
  <c r="BZ119" i="1"/>
  <c r="BY119" i="1"/>
  <c r="BX119" i="1"/>
  <c r="BW119" i="1"/>
  <c r="BV119" i="1"/>
  <c r="BU119" i="1"/>
  <c r="BT119" i="1"/>
  <c r="BS119" i="1"/>
  <c r="BR119" i="1"/>
  <c r="BQ119" i="1"/>
  <c r="BP119" i="1"/>
  <c r="BM119" i="1"/>
  <c r="BJ119" i="1"/>
  <c r="BI119" i="1"/>
  <c r="BH119" i="1"/>
  <c r="BF119" i="1"/>
  <c r="BE119" i="1"/>
  <c r="BD119" i="1"/>
  <c r="BA119" i="1"/>
  <c r="AY119" i="1"/>
  <c r="AX119" i="1"/>
  <c r="AW119" i="1"/>
  <c r="AT119" i="1"/>
  <c r="AS119" i="1"/>
  <c r="AR119" i="1"/>
  <c r="AP119" i="1"/>
  <c r="AO119" i="1"/>
  <c r="AN119" i="1"/>
  <c r="AM119" i="1"/>
  <c r="AL119" i="1"/>
  <c r="AK119" i="1"/>
  <c r="AJ119" i="1"/>
  <c r="AI119" i="1"/>
  <c r="AH119" i="1"/>
  <c r="AG119" i="1"/>
  <c r="AF119" i="1"/>
  <c r="AC119" i="1"/>
  <c r="AB119" i="1"/>
  <c r="AA119" i="1"/>
  <c r="Z119" i="1"/>
  <c r="Y119" i="1"/>
  <c r="X119" i="1"/>
  <c r="W119" i="1"/>
  <c r="V119" i="1"/>
  <c r="T119" i="1"/>
  <c r="S119" i="1"/>
  <c r="R119" i="1"/>
  <c r="Q119" i="1"/>
  <c r="O119" i="1"/>
  <c r="N119" i="1"/>
  <c r="M119" i="1"/>
  <c r="L119" i="1"/>
  <c r="K119" i="1"/>
  <c r="J119" i="1"/>
  <c r="CY117" i="1"/>
  <c r="CL117" i="1"/>
  <c r="CC117" i="1"/>
  <c r="BO117" i="1"/>
  <c r="BL117" i="1"/>
  <c r="BG117" i="1"/>
  <c r="BC117" i="1"/>
  <c r="U117" i="1"/>
  <c r="P117" i="1"/>
  <c r="I117" i="1"/>
  <c r="CY108" i="1"/>
  <c r="CL108" i="1"/>
  <c r="CC108" i="1"/>
  <c r="BO108" i="1"/>
  <c r="BL108" i="1"/>
  <c r="BG108" i="1"/>
  <c r="BC108" i="1"/>
  <c r="AE108" i="1"/>
  <c r="U108" i="1"/>
  <c r="P108" i="1"/>
  <c r="I108" i="1"/>
  <c r="CY105" i="1"/>
  <c r="CL105" i="1"/>
  <c r="CC105" i="1"/>
  <c r="BO105" i="1"/>
  <c r="BL105" i="1"/>
  <c r="BG105" i="1"/>
  <c r="BC105" i="1"/>
  <c r="AE105" i="1"/>
  <c r="U105" i="1"/>
  <c r="P105" i="1"/>
  <c r="I105" i="1"/>
  <c r="DA104" i="1"/>
  <c r="CZ104" i="1"/>
  <c r="CT104" i="1"/>
  <c r="CO104" i="1"/>
  <c r="CM104" i="1"/>
  <c r="CJ104" i="1"/>
  <c r="CG104" i="1"/>
  <c r="CE104" i="1"/>
  <c r="CD104" i="1"/>
  <c r="BZ104" i="1"/>
  <c r="BY104" i="1"/>
  <c r="BX104" i="1"/>
  <c r="BW104" i="1"/>
  <c r="BV104" i="1"/>
  <c r="BU104" i="1"/>
  <c r="BT104" i="1"/>
  <c r="BS104" i="1"/>
  <c r="BR104" i="1"/>
  <c r="BQ104" i="1"/>
  <c r="BP104" i="1"/>
  <c r="BM104" i="1"/>
  <c r="BJ104" i="1"/>
  <c r="BI104" i="1"/>
  <c r="BH104" i="1"/>
  <c r="BF104" i="1"/>
  <c r="BE104" i="1"/>
  <c r="BD104" i="1"/>
  <c r="BA104" i="1"/>
  <c r="AY104" i="1"/>
  <c r="AX104" i="1"/>
  <c r="AW104" i="1"/>
  <c r="AT104" i="1"/>
  <c r="AS104" i="1"/>
  <c r="AR104" i="1"/>
  <c r="AP104" i="1"/>
  <c r="AO104" i="1"/>
  <c r="AN104" i="1"/>
  <c r="AM104" i="1"/>
  <c r="AL104" i="1"/>
  <c r="AK104" i="1"/>
  <c r="AJ104" i="1"/>
  <c r="AI104" i="1"/>
  <c r="AH104" i="1"/>
  <c r="AG104" i="1"/>
  <c r="AF104" i="1"/>
  <c r="AC104" i="1"/>
  <c r="AB104" i="1"/>
  <c r="AA104" i="1"/>
  <c r="Z104" i="1"/>
  <c r="Y104" i="1"/>
  <c r="X104" i="1"/>
  <c r="W104" i="1"/>
  <c r="V104" i="1"/>
  <c r="T104" i="1"/>
  <c r="S104" i="1"/>
  <c r="R104" i="1"/>
  <c r="Q104" i="1"/>
  <c r="O104" i="1"/>
  <c r="N104" i="1"/>
  <c r="M104" i="1"/>
  <c r="L104" i="1"/>
  <c r="K104" i="1"/>
  <c r="J104" i="1"/>
  <c r="G104" i="1"/>
  <c r="CY98" i="1"/>
  <c r="CL98" i="1"/>
  <c r="CC98" i="1"/>
  <c r="BO98" i="1"/>
  <c r="BL98" i="1"/>
  <c r="BG98" i="1"/>
  <c r="BC98" i="1"/>
  <c r="AE98" i="1"/>
  <c r="U98" i="1"/>
  <c r="P98" i="1"/>
  <c r="I98" i="1"/>
  <c r="DA97" i="1"/>
  <c r="CZ97" i="1"/>
  <c r="CT97" i="1"/>
  <c r="CO97" i="1"/>
  <c r="CM97" i="1"/>
  <c r="CJ97" i="1"/>
  <c r="CG97" i="1"/>
  <c r="CE97" i="1"/>
  <c r="CD97" i="1"/>
  <c r="BZ97" i="1"/>
  <c r="BY97" i="1"/>
  <c r="BX97" i="1"/>
  <c r="BW97" i="1"/>
  <c r="BV97" i="1"/>
  <c r="BU97" i="1"/>
  <c r="BT97" i="1"/>
  <c r="BS97" i="1"/>
  <c r="BR97" i="1"/>
  <c r="BQ97" i="1"/>
  <c r="BP97" i="1"/>
  <c r="BM97" i="1"/>
  <c r="BJ97" i="1"/>
  <c r="BI97" i="1"/>
  <c r="BH97" i="1"/>
  <c r="BF97" i="1"/>
  <c r="BE97" i="1"/>
  <c r="BD97" i="1"/>
  <c r="BA97" i="1"/>
  <c r="AY97" i="1"/>
  <c r="AX97" i="1"/>
  <c r="AW97" i="1"/>
  <c r="AT97" i="1"/>
  <c r="AS97" i="1"/>
  <c r="AR97" i="1"/>
  <c r="AP97" i="1"/>
  <c r="AO97" i="1"/>
  <c r="AN97" i="1"/>
  <c r="AM97" i="1"/>
  <c r="AL97" i="1"/>
  <c r="AK97" i="1"/>
  <c r="AJ97" i="1"/>
  <c r="AI97" i="1"/>
  <c r="AH97" i="1"/>
  <c r="AG97" i="1"/>
  <c r="AF97" i="1"/>
  <c r="AC97" i="1"/>
  <c r="AB97" i="1"/>
  <c r="AA97" i="1"/>
  <c r="Z97" i="1"/>
  <c r="Y97" i="1"/>
  <c r="X97" i="1"/>
  <c r="W97" i="1"/>
  <c r="V97" i="1"/>
  <c r="T97" i="1"/>
  <c r="S97" i="1"/>
  <c r="R97" i="1"/>
  <c r="Q97" i="1"/>
  <c r="O97" i="1"/>
  <c r="N97" i="1"/>
  <c r="M97" i="1"/>
  <c r="L97" i="1"/>
  <c r="K97" i="1"/>
  <c r="J97" i="1"/>
  <c r="CY95" i="1"/>
  <c r="CL95" i="1"/>
  <c r="CC95" i="1"/>
  <c r="BO95" i="1"/>
  <c r="BL95" i="1"/>
  <c r="BG95" i="1"/>
  <c r="BC95" i="1"/>
  <c r="AE95" i="1"/>
  <c r="U95" i="1"/>
  <c r="P95" i="1"/>
  <c r="I95" i="1"/>
  <c r="DA94" i="1"/>
  <c r="CZ94" i="1"/>
  <c r="CT94" i="1"/>
  <c r="CO94" i="1"/>
  <c r="CM94" i="1"/>
  <c r="CJ94" i="1"/>
  <c r="CG94" i="1"/>
  <c r="CE94" i="1"/>
  <c r="CD94" i="1"/>
  <c r="BZ94" i="1"/>
  <c r="BY94" i="1"/>
  <c r="BX94" i="1"/>
  <c r="BW94" i="1"/>
  <c r="BV94" i="1"/>
  <c r="BU94" i="1"/>
  <c r="BT94" i="1"/>
  <c r="BS94" i="1"/>
  <c r="BR94" i="1"/>
  <c r="BQ94" i="1"/>
  <c r="BP94" i="1"/>
  <c r="BM94" i="1"/>
  <c r="BJ94" i="1"/>
  <c r="BI94" i="1"/>
  <c r="BH94" i="1"/>
  <c r="BF94" i="1"/>
  <c r="BE94" i="1"/>
  <c r="BD94" i="1"/>
  <c r="BA94" i="1"/>
  <c r="AY94" i="1"/>
  <c r="AX94" i="1"/>
  <c r="AW94" i="1"/>
  <c r="AT94" i="1"/>
  <c r="AS94" i="1"/>
  <c r="AR94" i="1"/>
  <c r="AP94" i="1"/>
  <c r="AO94" i="1"/>
  <c r="AN94" i="1"/>
  <c r="AM94" i="1"/>
  <c r="AL94" i="1"/>
  <c r="AK94" i="1"/>
  <c r="AJ94" i="1"/>
  <c r="AI94" i="1"/>
  <c r="AH94" i="1"/>
  <c r="AG94" i="1"/>
  <c r="AF94" i="1"/>
  <c r="AC94" i="1"/>
  <c r="AB94" i="1"/>
  <c r="AA94" i="1"/>
  <c r="Z94" i="1"/>
  <c r="Y94" i="1"/>
  <c r="X94" i="1"/>
  <c r="W94" i="1"/>
  <c r="V94" i="1"/>
  <c r="T94" i="1"/>
  <c r="S94" i="1"/>
  <c r="R94" i="1"/>
  <c r="Q94" i="1"/>
  <c r="O94" i="1"/>
  <c r="N94" i="1"/>
  <c r="M94" i="1"/>
  <c r="L94" i="1"/>
  <c r="K94" i="1"/>
  <c r="J94" i="1"/>
  <c r="H94" i="1"/>
  <c r="G94" i="1"/>
  <c r="CY90" i="1"/>
  <c r="CL90" i="1"/>
  <c r="CC90" i="1"/>
  <c r="BO90" i="1"/>
  <c r="BL90" i="1"/>
  <c r="BG90" i="1"/>
  <c r="BC90" i="1"/>
  <c r="AE90" i="1"/>
  <c r="U90" i="1"/>
  <c r="P90" i="1"/>
  <c r="I90" i="1"/>
  <c r="CY89" i="1"/>
  <c r="CL89" i="1"/>
  <c r="CC89" i="1"/>
  <c r="BO89" i="1"/>
  <c r="BL89" i="1"/>
  <c r="BG89" i="1"/>
  <c r="BC89" i="1"/>
  <c r="AE89" i="1"/>
  <c r="U89" i="1"/>
  <c r="P89" i="1"/>
  <c r="I89" i="1"/>
  <c r="CY87" i="1"/>
  <c r="CL87" i="1"/>
  <c r="CC87" i="1"/>
  <c r="BO87" i="1"/>
  <c r="BL87" i="1"/>
  <c r="BG87" i="1"/>
  <c r="BC87" i="1"/>
  <c r="AE87" i="1"/>
  <c r="U87" i="1"/>
  <c r="P87" i="1"/>
  <c r="I87" i="1"/>
  <c r="CY86" i="1"/>
  <c r="CL86" i="1"/>
  <c r="CC86" i="1"/>
  <c r="BO86" i="1"/>
  <c r="BL86" i="1"/>
  <c r="BG86" i="1"/>
  <c r="BC86" i="1"/>
  <c r="AE86" i="1"/>
  <c r="U86" i="1"/>
  <c r="P86" i="1"/>
  <c r="I86" i="1"/>
  <c r="CY85" i="1"/>
  <c r="CL85" i="1"/>
  <c r="CC85" i="1"/>
  <c r="BO85" i="1"/>
  <c r="BL85" i="1"/>
  <c r="BG85" i="1"/>
  <c r="BC85" i="1"/>
  <c r="AE85" i="1"/>
  <c r="U85" i="1"/>
  <c r="P85" i="1"/>
  <c r="I85" i="1"/>
  <c r="CY82" i="1"/>
  <c r="CL82" i="1"/>
  <c r="CC82" i="1"/>
  <c r="BO82" i="1"/>
  <c r="BL82" i="1"/>
  <c r="BG82" i="1"/>
  <c r="BC82" i="1"/>
  <c r="AE82" i="1"/>
  <c r="CY81" i="1"/>
  <c r="CL81" i="1"/>
  <c r="CC81" i="1"/>
  <c r="BO81" i="1"/>
  <c r="BL81" i="1"/>
  <c r="BG81" i="1"/>
  <c r="BC81" i="1"/>
  <c r="AE81" i="1"/>
  <c r="U81" i="1"/>
  <c r="P81" i="1"/>
  <c r="I81" i="1"/>
  <c r="DA80" i="1"/>
  <c r="CZ80" i="1"/>
  <c r="CT80" i="1"/>
  <c r="CO80" i="1"/>
  <c r="CM80" i="1"/>
  <c r="CJ80" i="1"/>
  <c r="CG80" i="1"/>
  <c r="CE80" i="1"/>
  <c r="CD80" i="1"/>
  <c r="BZ80" i="1"/>
  <c r="BY80" i="1"/>
  <c r="BX80" i="1"/>
  <c r="BW80" i="1"/>
  <c r="BV80" i="1"/>
  <c r="BU80" i="1"/>
  <c r="BT80" i="1"/>
  <c r="BS80" i="1"/>
  <c r="BR80" i="1"/>
  <c r="BQ80" i="1"/>
  <c r="BP80" i="1"/>
  <c r="BM80" i="1"/>
  <c r="BJ80" i="1"/>
  <c r="BI80" i="1"/>
  <c r="BH80" i="1"/>
  <c r="BF80" i="1"/>
  <c r="BE80" i="1"/>
  <c r="BD80" i="1"/>
  <c r="BA80" i="1"/>
  <c r="AY80" i="1"/>
  <c r="AX80" i="1"/>
  <c r="AW80" i="1"/>
  <c r="AT80" i="1"/>
  <c r="AS80" i="1"/>
  <c r="AR80" i="1"/>
  <c r="AP80" i="1"/>
  <c r="AO80" i="1"/>
  <c r="AN80" i="1"/>
  <c r="AM80" i="1"/>
  <c r="AL80" i="1"/>
  <c r="AK80" i="1"/>
  <c r="AJ80" i="1"/>
  <c r="AI80" i="1"/>
  <c r="AH80" i="1"/>
  <c r="AG80" i="1"/>
  <c r="AF80" i="1"/>
  <c r="AC80" i="1"/>
  <c r="AB80" i="1"/>
  <c r="AA80" i="1"/>
  <c r="Z80" i="1"/>
  <c r="Y80" i="1"/>
  <c r="X80" i="1"/>
  <c r="W80" i="1"/>
  <c r="V80" i="1"/>
  <c r="T80" i="1"/>
  <c r="S80" i="1"/>
  <c r="R80" i="1"/>
  <c r="Q80" i="1"/>
  <c r="O80" i="1"/>
  <c r="N80" i="1"/>
  <c r="M80" i="1"/>
  <c r="L80" i="1"/>
  <c r="K80" i="1"/>
  <c r="J80" i="1"/>
  <c r="G80" i="1"/>
  <c r="CY78" i="1"/>
  <c r="CL78" i="1"/>
  <c r="CC78" i="1"/>
  <c r="BO78" i="1"/>
  <c r="BL78" i="1"/>
  <c r="BG78" i="1"/>
  <c r="BC78" i="1"/>
  <c r="AE78" i="1"/>
  <c r="U78" i="1"/>
  <c r="P78" i="1"/>
  <c r="I78" i="1"/>
  <c r="DA77" i="1"/>
  <c r="CZ77" i="1"/>
  <c r="CT77" i="1"/>
  <c r="CO77" i="1"/>
  <c r="CM77" i="1"/>
  <c r="CJ77" i="1"/>
  <c r="CG77" i="1"/>
  <c r="CE77" i="1"/>
  <c r="CD77" i="1"/>
  <c r="BZ77" i="1"/>
  <c r="BY77" i="1"/>
  <c r="BX77" i="1"/>
  <c r="BW77" i="1"/>
  <c r="BV77" i="1"/>
  <c r="BU77" i="1"/>
  <c r="BT77" i="1"/>
  <c r="BS77" i="1"/>
  <c r="BR77" i="1"/>
  <c r="BQ77" i="1"/>
  <c r="BP77" i="1"/>
  <c r="BM77" i="1"/>
  <c r="BJ77" i="1"/>
  <c r="BI77" i="1"/>
  <c r="BH77" i="1"/>
  <c r="BF77" i="1"/>
  <c r="BE77" i="1"/>
  <c r="BD77" i="1"/>
  <c r="BA77" i="1"/>
  <c r="AY77" i="1"/>
  <c r="AX77" i="1"/>
  <c r="AW77" i="1"/>
  <c r="AT77" i="1"/>
  <c r="AS77" i="1"/>
  <c r="AR77" i="1"/>
  <c r="AP77" i="1"/>
  <c r="AO77" i="1"/>
  <c r="AN77" i="1"/>
  <c r="AM77" i="1"/>
  <c r="AL77" i="1"/>
  <c r="AK77" i="1"/>
  <c r="AJ77" i="1"/>
  <c r="AI77" i="1"/>
  <c r="AH77" i="1"/>
  <c r="AG77" i="1"/>
  <c r="AF77" i="1"/>
  <c r="AC77" i="1"/>
  <c r="AB77" i="1"/>
  <c r="AA77" i="1"/>
  <c r="Z77" i="1"/>
  <c r="Y77" i="1"/>
  <c r="X77" i="1"/>
  <c r="W77" i="1"/>
  <c r="V77" i="1"/>
  <c r="T77" i="1"/>
  <c r="S77" i="1"/>
  <c r="R77" i="1"/>
  <c r="Q77" i="1"/>
  <c r="O77" i="1"/>
  <c r="N77" i="1"/>
  <c r="M77" i="1"/>
  <c r="L77" i="1"/>
  <c r="K77" i="1"/>
  <c r="J77" i="1"/>
  <c r="CY76" i="1"/>
  <c r="CL76" i="1"/>
  <c r="CC76" i="1"/>
  <c r="BO76" i="1"/>
  <c r="BL76" i="1"/>
  <c r="BG76" i="1"/>
  <c r="BC76" i="1"/>
  <c r="AE76" i="1"/>
  <c r="U76" i="1"/>
  <c r="P76" i="1"/>
  <c r="I76" i="1"/>
  <c r="DA75" i="1"/>
  <c r="CZ75" i="1"/>
  <c r="CT75" i="1"/>
  <c r="CO75" i="1"/>
  <c r="CM75" i="1"/>
  <c r="CJ75" i="1"/>
  <c r="CG75" i="1"/>
  <c r="CE75" i="1"/>
  <c r="CD75" i="1"/>
  <c r="BZ75" i="1"/>
  <c r="BY75" i="1"/>
  <c r="BX75" i="1"/>
  <c r="BW75" i="1"/>
  <c r="BV75" i="1"/>
  <c r="BU75" i="1"/>
  <c r="BT75" i="1"/>
  <c r="BS75" i="1"/>
  <c r="BR75" i="1"/>
  <c r="BQ75" i="1"/>
  <c r="BP75" i="1"/>
  <c r="BM75" i="1"/>
  <c r="BJ75" i="1"/>
  <c r="BI75" i="1"/>
  <c r="BH75" i="1"/>
  <c r="BF75" i="1"/>
  <c r="BE75" i="1"/>
  <c r="BD75" i="1"/>
  <c r="BA75" i="1"/>
  <c r="AY75" i="1"/>
  <c r="AX75" i="1"/>
  <c r="AW75" i="1"/>
  <c r="AT75" i="1"/>
  <c r="AS75" i="1"/>
  <c r="AR75" i="1"/>
  <c r="AP75" i="1"/>
  <c r="AO75" i="1"/>
  <c r="AN75" i="1"/>
  <c r="AM75" i="1"/>
  <c r="AL75" i="1"/>
  <c r="AK75" i="1"/>
  <c r="AJ75" i="1"/>
  <c r="AI75" i="1"/>
  <c r="AH75" i="1"/>
  <c r="AG75" i="1"/>
  <c r="AF75" i="1"/>
  <c r="AC75" i="1"/>
  <c r="AB75" i="1"/>
  <c r="AA75" i="1"/>
  <c r="Z75" i="1"/>
  <c r="Y75" i="1"/>
  <c r="X75" i="1"/>
  <c r="W75" i="1"/>
  <c r="V75" i="1"/>
  <c r="T75" i="1"/>
  <c r="S75" i="1"/>
  <c r="R75" i="1"/>
  <c r="Q75" i="1"/>
  <c r="O75" i="1"/>
  <c r="N75" i="1"/>
  <c r="M75" i="1"/>
  <c r="L75" i="1"/>
  <c r="K75" i="1"/>
  <c r="J75" i="1"/>
  <c r="G75" i="1"/>
  <c r="CY74" i="1"/>
  <c r="CL74" i="1"/>
  <c r="CC74" i="1"/>
  <c r="BO74" i="1"/>
  <c r="BL74" i="1"/>
  <c r="BG74" i="1"/>
  <c r="BC74" i="1"/>
  <c r="AE74" i="1"/>
  <c r="U74" i="1"/>
  <c r="P74" i="1"/>
  <c r="DA73" i="1"/>
  <c r="CZ73" i="1"/>
  <c r="CT73" i="1"/>
  <c r="CO73" i="1"/>
  <c r="CM73" i="1"/>
  <c r="CJ73" i="1"/>
  <c r="CG73" i="1"/>
  <c r="CE73" i="1"/>
  <c r="CD73" i="1"/>
  <c r="BZ73" i="1"/>
  <c r="BY73" i="1"/>
  <c r="BX73" i="1"/>
  <c r="BW73" i="1"/>
  <c r="BV73" i="1"/>
  <c r="BU73" i="1"/>
  <c r="BT73" i="1"/>
  <c r="BS73" i="1"/>
  <c r="BR73" i="1"/>
  <c r="BQ73" i="1"/>
  <c r="BP73" i="1"/>
  <c r="BM73" i="1"/>
  <c r="BJ73" i="1"/>
  <c r="BI73" i="1"/>
  <c r="BH73" i="1"/>
  <c r="BF73" i="1"/>
  <c r="BE73" i="1"/>
  <c r="BD73" i="1"/>
  <c r="BA73" i="1"/>
  <c r="AY73" i="1"/>
  <c r="AX73" i="1"/>
  <c r="AW73" i="1"/>
  <c r="AT73" i="1"/>
  <c r="AS73" i="1"/>
  <c r="AR73" i="1"/>
  <c r="AP73" i="1"/>
  <c r="AO73" i="1"/>
  <c r="AN73" i="1"/>
  <c r="AM73" i="1"/>
  <c r="AL73" i="1"/>
  <c r="AK73" i="1"/>
  <c r="AJ73" i="1"/>
  <c r="AI73" i="1"/>
  <c r="AH73" i="1"/>
  <c r="AG73" i="1"/>
  <c r="AF73" i="1"/>
  <c r="AC73" i="1"/>
  <c r="AB73" i="1"/>
  <c r="AA73" i="1"/>
  <c r="Z73" i="1"/>
  <c r="Y73" i="1"/>
  <c r="X73" i="1"/>
  <c r="W73" i="1"/>
  <c r="V73" i="1"/>
  <c r="T73" i="1"/>
  <c r="S73" i="1"/>
  <c r="R73" i="1"/>
  <c r="Q73" i="1"/>
  <c r="M73" i="1"/>
  <c r="L73" i="1"/>
  <c r="J73" i="1"/>
  <c r="CY72" i="1"/>
  <c r="CL72" i="1"/>
  <c r="BO72" i="1"/>
  <c r="BL72" i="1"/>
  <c r="BG72" i="1"/>
  <c r="BC72" i="1"/>
  <c r="AE72" i="1"/>
  <c r="U72" i="1"/>
  <c r="P72" i="1"/>
  <c r="I72" i="1"/>
  <c r="DA71" i="1"/>
  <c r="CZ71" i="1"/>
  <c r="CT71" i="1"/>
  <c r="CO71" i="1"/>
  <c r="CM71" i="1"/>
  <c r="CJ71" i="1"/>
  <c r="CG71" i="1"/>
  <c r="CD71" i="1"/>
  <c r="BZ71" i="1"/>
  <c r="BY71" i="1"/>
  <c r="BX71" i="1"/>
  <c r="BW71" i="1"/>
  <c r="BV71" i="1"/>
  <c r="BU71" i="1"/>
  <c r="BT71" i="1"/>
  <c r="BS71" i="1"/>
  <c r="BR71" i="1"/>
  <c r="BQ71" i="1"/>
  <c r="BP71" i="1"/>
  <c r="BM71" i="1"/>
  <c r="BJ71" i="1"/>
  <c r="BI71" i="1"/>
  <c r="BH71" i="1"/>
  <c r="BF71" i="1"/>
  <c r="BE71" i="1"/>
  <c r="BD71" i="1"/>
  <c r="AC71" i="1"/>
  <c r="AB71" i="1"/>
  <c r="AA71" i="1"/>
  <c r="Z71" i="1"/>
  <c r="Y71" i="1"/>
  <c r="X71" i="1"/>
  <c r="W71" i="1"/>
  <c r="V71" i="1"/>
  <c r="T71" i="1"/>
  <c r="S71" i="1"/>
  <c r="R71" i="1"/>
  <c r="Q71" i="1"/>
  <c r="O71" i="1"/>
  <c r="N71" i="1"/>
  <c r="M71" i="1"/>
  <c r="L71" i="1"/>
  <c r="K71" i="1"/>
  <c r="J71" i="1"/>
  <c r="H71" i="1"/>
  <c r="G71" i="1"/>
  <c r="CY70" i="1"/>
  <c r="CL70" i="1"/>
  <c r="CC70" i="1"/>
  <c r="BO70" i="1"/>
  <c r="BL70" i="1"/>
  <c r="BG70" i="1"/>
  <c r="BC70" i="1"/>
  <c r="AE70" i="1"/>
  <c r="U70" i="1"/>
  <c r="P70" i="1"/>
  <c r="I70" i="1"/>
  <c r="DA69" i="1"/>
  <c r="CZ69" i="1"/>
  <c r="CT69" i="1"/>
  <c r="CO69" i="1"/>
  <c r="CM69" i="1"/>
  <c r="CJ69" i="1"/>
  <c r="CG69" i="1"/>
  <c r="CE69" i="1"/>
  <c r="CD69" i="1"/>
  <c r="BZ69" i="1"/>
  <c r="BY69" i="1"/>
  <c r="BX69" i="1"/>
  <c r="BW69" i="1"/>
  <c r="BV69" i="1"/>
  <c r="BU69" i="1"/>
  <c r="BT69" i="1"/>
  <c r="BS69" i="1"/>
  <c r="BR69" i="1"/>
  <c r="BQ69" i="1"/>
  <c r="BP69" i="1"/>
  <c r="BM69" i="1"/>
  <c r="BJ69" i="1"/>
  <c r="BI69" i="1"/>
  <c r="BH69" i="1"/>
  <c r="BF69" i="1"/>
  <c r="BE69" i="1"/>
  <c r="BD69" i="1"/>
  <c r="BA69" i="1"/>
  <c r="AY69" i="1"/>
  <c r="AX69" i="1"/>
  <c r="AW69" i="1"/>
  <c r="AT69" i="1"/>
  <c r="AS69" i="1"/>
  <c r="AR69" i="1"/>
  <c r="AP69" i="1"/>
  <c r="AO69" i="1"/>
  <c r="AN69" i="1"/>
  <c r="AM69" i="1"/>
  <c r="AL69" i="1"/>
  <c r="AK69" i="1"/>
  <c r="AJ69" i="1"/>
  <c r="AI69" i="1"/>
  <c r="AH69" i="1"/>
  <c r="AG69" i="1"/>
  <c r="AF69" i="1"/>
  <c r="T69" i="1"/>
  <c r="S69" i="1"/>
  <c r="R69" i="1"/>
  <c r="Q69" i="1"/>
  <c r="O69" i="1"/>
  <c r="N69" i="1"/>
  <c r="M69" i="1"/>
  <c r="L69" i="1"/>
  <c r="K69" i="1"/>
  <c r="J69" i="1"/>
  <c r="G69" i="1"/>
  <c r="CY68" i="1"/>
  <c r="CL68" i="1"/>
  <c r="CC68" i="1"/>
  <c r="BO68" i="1"/>
  <c r="BL68" i="1"/>
  <c r="BG68" i="1"/>
  <c r="BC68" i="1"/>
  <c r="AE68" i="1"/>
  <c r="U68" i="1"/>
  <c r="P68" i="1"/>
  <c r="I68" i="1"/>
  <c r="DA67" i="1"/>
  <c r="CZ67" i="1"/>
  <c r="CT67" i="1"/>
  <c r="CO67" i="1"/>
  <c r="CM67" i="1"/>
  <c r="CJ67" i="1"/>
  <c r="CG67" i="1"/>
  <c r="CE67" i="1"/>
  <c r="CD67" i="1"/>
  <c r="BZ67" i="1"/>
  <c r="BY67" i="1"/>
  <c r="BX67" i="1"/>
  <c r="BW67" i="1"/>
  <c r="BV67" i="1"/>
  <c r="BU67" i="1"/>
  <c r="BT67" i="1"/>
  <c r="BS67" i="1"/>
  <c r="BR67" i="1"/>
  <c r="BQ67" i="1"/>
  <c r="BP67" i="1"/>
  <c r="BM67" i="1"/>
  <c r="BJ67" i="1"/>
  <c r="BI67" i="1"/>
  <c r="BH67" i="1"/>
  <c r="BF67" i="1"/>
  <c r="BE67" i="1"/>
  <c r="BD67" i="1"/>
  <c r="BA67" i="1"/>
  <c r="AY67" i="1"/>
  <c r="AX67" i="1"/>
  <c r="AW67" i="1"/>
  <c r="AT67" i="1"/>
  <c r="AS67" i="1"/>
  <c r="AR67" i="1"/>
  <c r="AP67" i="1"/>
  <c r="AO67" i="1"/>
  <c r="AN67" i="1"/>
  <c r="AM67" i="1"/>
  <c r="AL67" i="1"/>
  <c r="AK67" i="1"/>
  <c r="AJ67" i="1"/>
  <c r="AI67" i="1"/>
  <c r="AH67" i="1"/>
  <c r="AG67" i="1"/>
  <c r="AF67" i="1"/>
  <c r="T67" i="1"/>
  <c r="S67" i="1"/>
  <c r="R67" i="1"/>
  <c r="Q67" i="1"/>
  <c r="O67" i="1"/>
  <c r="N67" i="1"/>
  <c r="M67" i="1"/>
  <c r="L67" i="1"/>
  <c r="K67" i="1"/>
  <c r="J67" i="1"/>
  <c r="CY66" i="1"/>
  <c r="CL66" i="1"/>
  <c r="CC66" i="1"/>
  <c r="BO66" i="1"/>
  <c r="BL66" i="1"/>
  <c r="BG66" i="1"/>
  <c r="BC66" i="1"/>
  <c r="AE66" i="1"/>
  <c r="U66" i="1"/>
  <c r="P66" i="1"/>
  <c r="I66" i="1"/>
  <c r="CY65" i="1"/>
  <c r="CL65" i="1"/>
  <c r="CC65" i="1"/>
  <c r="BO65" i="1"/>
  <c r="BL65" i="1"/>
  <c r="BG65" i="1"/>
  <c r="BC65" i="1"/>
  <c r="AE65" i="1"/>
  <c r="U65" i="1"/>
  <c r="P65" i="1"/>
  <c r="I65" i="1"/>
  <c r="DA64" i="1"/>
  <c r="CZ64" i="1"/>
  <c r="CT64" i="1"/>
  <c r="CO64" i="1"/>
  <c r="CM64" i="1"/>
  <c r="CJ64" i="1"/>
  <c r="CG64" i="1"/>
  <c r="CE64" i="1"/>
  <c r="CD64" i="1"/>
  <c r="BZ64" i="1"/>
  <c r="BY64" i="1"/>
  <c r="BX64" i="1"/>
  <c r="BW64" i="1"/>
  <c r="BV64" i="1"/>
  <c r="BU64" i="1"/>
  <c r="BT64" i="1"/>
  <c r="BS64" i="1"/>
  <c r="BR64" i="1"/>
  <c r="BQ64" i="1"/>
  <c r="BP64" i="1"/>
  <c r="BM64" i="1"/>
  <c r="BJ64" i="1"/>
  <c r="BI64" i="1"/>
  <c r="BH64" i="1"/>
  <c r="BF64" i="1"/>
  <c r="BE64" i="1"/>
  <c r="BD64" i="1"/>
  <c r="BA64" i="1"/>
  <c r="AY64" i="1"/>
  <c r="AX64" i="1"/>
  <c r="AW64" i="1"/>
  <c r="AT64" i="1"/>
  <c r="AS64" i="1"/>
  <c r="AR64" i="1"/>
  <c r="AP64" i="1"/>
  <c r="AO64" i="1"/>
  <c r="AN64" i="1"/>
  <c r="AM64" i="1"/>
  <c r="AL64" i="1"/>
  <c r="AK64" i="1"/>
  <c r="AJ64" i="1"/>
  <c r="AI64" i="1"/>
  <c r="AH64" i="1"/>
  <c r="AG64" i="1"/>
  <c r="AF64" i="1"/>
  <c r="AC64" i="1"/>
  <c r="AB64" i="1"/>
  <c r="AA64" i="1"/>
  <c r="Z64" i="1"/>
  <c r="Y64" i="1"/>
  <c r="X64" i="1"/>
  <c r="W64" i="1"/>
  <c r="V64" i="1"/>
  <c r="T64" i="1"/>
  <c r="S64" i="1"/>
  <c r="R64" i="1"/>
  <c r="Q64" i="1"/>
  <c r="O64" i="1"/>
  <c r="N64" i="1"/>
  <c r="M64" i="1"/>
  <c r="L64" i="1"/>
  <c r="K64" i="1"/>
  <c r="J64" i="1"/>
  <c r="G64" i="1"/>
  <c r="CY63" i="1"/>
  <c r="CL63" i="1"/>
  <c r="CC63" i="1"/>
  <c r="BO63" i="1"/>
  <c r="BL63" i="1"/>
  <c r="BG63" i="1"/>
  <c r="BC63" i="1"/>
  <c r="P63" i="1"/>
  <c r="I63" i="1"/>
  <c r="DA62" i="1"/>
  <c r="CZ62" i="1"/>
  <c r="CT62" i="1"/>
  <c r="CO62" i="1"/>
  <c r="CM62" i="1"/>
  <c r="CJ62" i="1"/>
  <c r="CG62" i="1"/>
  <c r="CE62" i="1"/>
  <c r="CD62" i="1"/>
  <c r="BZ62" i="1"/>
  <c r="BY62" i="1"/>
  <c r="BX62" i="1"/>
  <c r="BW62" i="1"/>
  <c r="BV62" i="1"/>
  <c r="BU62" i="1"/>
  <c r="BT62" i="1"/>
  <c r="BS62" i="1"/>
  <c r="BR62" i="1"/>
  <c r="BQ62" i="1"/>
  <c r="BP62" i="1"/>
  <c r="BM62" i="1"/>
  <c r="BJ62" i="1"/>
  <c r="BI62" i="1"/>
  <c r="BH62" i="1"/>
  <c r="BF62" i="1"/>
  <c r="BE62" i="1"/>
  <c r="BD62" i="1"/>
  <c r="BA62" i="1"/>
  <c r="AY62" i="1"/>
  <c r="AX62" i="1"/>
  <c r="AW62" i="1"/>
  <c r="AT62" i="1"/>
  <c r="AS62" i="1"/>
  <c r="AP62" i="1"/>
  <c r="AO62" i="1"/>
  <c r="AN62" i="1"/>
  <c r="AM62" i="1"/>
  <c r="AL62" i="1"/>
  <c r="AK62" i="1"/>
  <c r="AJ62" i="1"/>
  <c r="AI62" i="1"/>
  <c r="AH62" i="1"/>
  <c r="AG62" i="1"/>
  <c r="AF62" i="1"/>
  <c r="AC62" i="1"/>
  <c r="AB62" i="1"/>
  <c r="Z62" i="1"/>
  <c r="Y62" i="1"/>
  <c r="X62" i="1"/>
  <c r="W62" i="1"/>
  <c r="V62" i="1"/>
  <c r="T62" i="1"/>
  <c r="S62" i="1"/>
  <c r="R62" i="1"/>
  <c r="Q62" i="1"/>
  <c r="O62" i="1"/>
  <c r="N62" i="1"/>
  <c r="M62" i="1"/>
  <c r="L62" i="1"/>
  <c r="J62" i="1"/>
  <c r="G62" i="1"/>
  <c r="CY60" i="1"/>
  <c r="CL60" i="1"/>
  <c r="CC60" i="1"/>
  <c r="BO60" i="1"/>
  <c r="BL60" i="1"/>
  <c r="BG60" i="1"/>
  <c r="BC60" i="1"/>
  <c r="AE60" i="1"/>
  <c r="U60" i="1"/>
  <c r="P60" i="1"/>
  <c r="DA59" i="1"/>
  <c r="CZ59" i="1"/>
  <c r="CT59" i="1"/>
  <c r="CO59" i="1"/>
  <c r="CM59" i="1"/>
  <c r="CJ59" i="1"/>
  <c r="CG59" i="1"/>
  <c r="CE59" i="1"/>
  <c r="CD59" i="1"/>
  <c r="BZ59" i="1"/>
  <c r="BY59" i="1"/>
  <c r="BX59" i="1"/>
  <c r="BW59" i="1"/>
  <c r="BV59" i="1"/>
  <c r="BU59" i="1"/>
  <c r="BT59" i="1"/>
  <c r="BS59" i="1"/>
  <c r="BR59" i="1"/>
  <c r="BQ59" i="1"/>
  <c r="BP59" i="1"/>
  <c r="BM59" i="1"/>
  <c r="BJ59" i="1"/>
  <c r="BI59" i="1"/>
  <c r="BH59" i="1"/>
  <c r="BF59" i="1"/>
  <c r="BE59" i="1"/>
  <c r="BD59" i="1"/>
  <c r="BA59" i="1"/>
  <c r="AY59" i="1"/>
  <c r="AX59" i="1"/>
  <c r="AW59" i="1"/>
  <c r="AT59" i="1"/>
  <c r="AS59" i="1"/>
  <c r="AR59" i="1"/>
  <c r="AP59" i="1"/>
  <c r="AO59" i="1"/>
  <c r="AN59" i="1"/>
  <c r="AM59" i="1"/>
  <c r="AL59" i="1"/>
  <c r="AK59" i="1"/>
  <c r="AJ59" i="1"/>
  <c r="AI59" i="1"/>
  <c r="AH59" i="1"/>
  <c r="AG59" i="1"/>
  <c r="AF59" i="1"/>
  <c r="AC59" i="1"/>
  <c r="AB59" i="1"/>
  <c r="AA59" i="1"/>
  <c r="Z59" i="1"/>
  <c r="Y59" i="1"/>
  <c r="X59" i="1"/>
  <c r="W59" i="1"/>
  <c r="V59" i="1"/>
  <c r="T59" i="1"/>
  <c r="S59" i="1"/>
  <c r="R59" i="1"/>
  <c r="Q59" i="1"/>
  <c r="O59" i="1"/>
  <c r="N59" i="1"/>
  <c r="M59" i="1"/>
  <c r="L59" i="1"/>
  <c r="K59" i="1"/>
  <c r="J59" i="1"/>
  <c r="CY58" i="1"/>
  <c r="CL58" i="1"/>
  <c r="CC58" i="1"/>
  <c r="BL58" i="1"/>
  <c r="BG58" i="1"/>
  <c r="BC58" i="1"/>
  <c r="AE58" i="1"/>
  <c r="U58" i="1"/>
  <c r="P58" i="1"/>
  <c r="DA57" i="1"/>
  <c r="CZ57" i="1"/>
  <c r="CT57" i="1"/>
  <c r="CO57" i="1"/>
  <c r="CM57" i="1"/>
  <c r="CJ57" i="1"/>
  <c r="CG57" i="1"/>
  <c r="CE57" i="1"/>
  <c r="CD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M57" i="1"/>
  <c r="BJ57" i="1"/>
  <c r="BI57" i="1"/>
  <c r="BH57" i="1"/>
  <c r="BF57" i="1"/>
  <c r="BE57" i="1"/>
  <c r="BD57" i="1"/>
  <c r="BA57" i="1"/>
  <c r="AY57" i="1"/>
  <c r="AX57" i="1"/>
  <c r="AW57" i="1"/>
  <c r="AT57" i="1"/>
  <c r="AS57" i="1"/>
  <c r="AR57" i="1"/>
  <c r="AP57" i="1"/>
  <c r="AO57" i="1"/>
  <c r="AN57" i="1"/>
  <c r="AM57" i="1"/>
  <c r="AL57" i="1"/>
  <c r="AK57" i="1"/>
  <c r="AJ57" i="1"/>
  <c r="AI57" i="1"/>
  <c r="AH57" i="1"/>
  <c r="AG57" i="1"/>
  <c r="AF57" i="1"/>
  <c r="AC57" i="1"/>
  <c r="AB57" i="1"/>
  <c r="AA57" i="1"/>
  <c r="Z57" i="1"/>
  <c r="Y57" i="1"/>
  <c r="X57" i="1"/>
  <c r="W57" i="1"/>
  <c r="V57" i="1"/>
  <c r="T57" i="1"/>
  <c r="S57" i="1"/>
  <c r="R57" i="1"/>
  <c r="Q57" i="1"/>
  <c r="O57" i="1"/>
  <c r="N57" i="1"/>
  <c r="M57" i="1"/>
  <c r="L57" i="1"/>
  <c r="K57" i="1"/>
  <c r="J57" i="1"/>
  <c r="H57" i="1"/>
  <c r="CY55" i="1"/>
  <c r="CL55" i="1"/>
  <c r="CC55" i="1"/>
  <c r="BO55" i="1"/>
  <c r="BL55" i="1"/>
  <c r="BG55" i="1"/>
  <c r="BC55" i="1"/>
  <c r="AE55" i="1"/>
  <c r="U55" i="1"/>
  <c r="P55" i="1"/>
  <c r="I55" i="1"/>
  <c r="DA54" i="1"/>
  <c r="CZ54" i="1"/>
  <c r="CT54" i="1"/>
  <c r="CO54" i="1"/>
  <c r="CM54" i="1"/>
  <c r="CJ54" i="1"/>
  <c r="CG54" i="1"/>
  <c r="CE54" i="1"/>
  <c r="CD54" i="1"/>
  <c r="BZ54" i="1"/>
  <c r="BY54" i="1"/>
  <c r="BX54" i="1"/>
  <c r="BW54" i="1"/>
  <c r="BV54" i="1"/>
  <c r="BU54" i="1"/>
  <c r="BT54" i="1"/>
  <c r="BS54" i="1"/>
  <c r="BR54" i="1"/>
  <c r="BQ54" i="1"/>
  <c r="BP54" i="1"/>
  <c r="BM54" i="1"/>
  <c r="BJ54" i="1"/>
  <c r="BI54" i="1"/>
  <c r="BH54" i="1"/>
  <c r="BF54" i="1"/>
  <c r="BE54" i="1"/>
  <c r="BD54" i="1"/>
  <c r="BA54" i="1"/>
  <c r="AY54" i="1"/>
  <c r="AX54" i="1"/>
  <c r="AW54" i="1"/>
  <c r="AT54" i="1"/>
  <c r="AS54" i="1"/>
  <c r="AR54" i="1"/>
  <c r="AP54" i="1"/>
  <c r="AO54" i="1"/>
  <c r="AN54" i="1"/>
  <c r="AM54" i="1"/>
  <c r="AL54" i="1"/>
  <c r="AK54" i="1"/>
  <c r="AJ54" i="1"/>
  <c r="AI54" i="1"/>
  <c r="AH54" i="1"/>
  <c r="AG54" i="1"/>
  <c r="AF54" i="1"/>
  <c r="AC54" i="1"/>
  <c r="AB54" i="1"/>
  <c r="AA54" i="1"/>
  <c r="Z54" i="1"/>
  <c r="Y54" i="1"/>
  <c r="X54" i="1"/>
  <c r="W54" i="1"/>
  <c r="V54" i="1"/>
  <c r="T54" i="1"/>
  <c r="S54" i="1"/>
  <c r="R54" i="1"/>
  <c r="Q54" i="1"/>
  <c r="O54" i="1"/>
  <c r="N54" i="1"/>
  <c r="M54" i="1"/>
  <c r="L54" i="1"/>
  <c r="K54" i="1"/>
  <c r="J54" i="1"/>
  <c r="CY52" i="1"/>
  <c r="CL52" i="1"/>
  <c r="CC52" i="1"/>
  <c r="BO52" i="1"/>
  <c r="BL52" i="1"/>
  <c r="BG52" i="1"/>
  <c r="BC52" i="1"/>
  <c r="AE52" i="1"/>
  <c r="U52" i="1"/>
  <c r="P52" i="1"/>
  <c r="I52" i="1"/>
  <c r="DA51" i="1"/>
  <c r="CZ51" i="1"/>
  <c r="CT51" i="1"/>
  <c r="CO51" i="1"/>
  <c r="CM51" i="1"/>
  <c r="CJ51" i="1"/>
  <c r="CG51" i="1"/>
  <c r="CE51" i="1"/>
  <c r="CD51" i="1"/>
  <c r="BZ51" i="1"/>
  <c r="BY51" i="1"/>
  <c r="BX51" i="1"/>
  <c r="BW51" i="1"/>
  <c r="BV51" i="1"/>
  <c r="BU51" i="1"/>
  <c r="BT51" i="1"/>
  <c r="BS51" i="1"/>
  <c r="BR51" i="1"/>
  <c r="BQ51" i="1"/>
  <c r="BP51" i="1"/>
  <c r="BM51" i="1"/>
  <c r="BJ51" i="1"/>
  <c r="BI51" i="1"/>
  <c r="BH51" i="1"/>
  <c r="BF51" i="1"/>
  <c r="BE51" i="1"/>
  <c r="BD51" i="1"/>
  <c r="BA51" i="1"/>
  <c r="AY51" i="1"/>
  <c r="AX51" i="1"/>
  <c r="AW51" i="1"/>
  <c r="AV51" i="1"/>
  <c r="AU51" i="1"/>
  <c r="AT51" i="1"/>
  <c r="AS51" i="1"/>
  <c r="AR51" i="1"/>
  <c r="AP51" i="1"/>
  <c r="AO51" i="1"/>
  <c r="AN51" i="1"/>
  <c r="AM51" i="1"/>
  <c r="AL51" i="1"/>
  <c r="AK51" i="1"/>
  <c r="AJ51" i="1"/>
  <c r="AI51" i="1"/>
  <c r="AH51" i="1"/>
  <c r="AG51" i="1"/>
  <c r="AF51" i="1"/>
  <c r="AC51" i="1"/>
  <c r="AB51" i="1"/>
  <c r="AA51" i="1"/>
  <c r="Z51" i="1"/>
  <c r="Y51" i="1"/>
  <c r="X51" i="1"/>
  <c r="W51" i="1"/>
  <c r="V51" i="1"/>
  <c r="T51" i="1"/>
  <c r="S51" i="1"/>
  <c r="R51" i="1"/>
  <c r="Q51" i="1"/>
  <c r="O51" i="1"/>
  <c r="N51" i="1"/>
  <c r="M51" i="1"/>
  <c r="L51" i="1"/>
  <c r="K51" i="1"/>
  <c r="J51" i="1"/>
  <c r="H51" i="1"/>
  <c r="G51" i="1"/>
  <c r="CY50" i="1"/>
  <c r="CL50" i="1"/>
  <c r="CC50" i="1"/>
  <c r="BO50" i="1"/>
  <c r="BL50" i="1"/>
  <c r="BG50" i="1"/>
  <c r="BC50" i="1"/>
  <c r="AE50" i="1"/>
  <c r="U50" i="1"/>
  <c r="P50" i="1"/>
  <c r="I50" i="1"/>
  <c r="DA49" i="1"/>
  <c r="CZ49" i="1"/>
  <c r="CT49" i="1"/>
  <c r="CO49" i="1"/>
  <c r="CM49" i="1"/>
  <c r="CJ49" i="1"/>
  <c r="CG49" i="1"/>
  <c r="CE49" i="1"/>
  <c r="CD49" i="1"/>
  <c r="BZ49" i="1"/>
  <c r="BY49" i="1"/>
  <c r="BX49" i="1"/>
  <c r="BW49" i="1"/>
  <c r="BV49" i="1"/>
  <c r="BU49" i="1"/>
  <c r="BT49" i="1"/>
  <c r="BS49" i="1"/>
  <c r="BR49" i="1"/>
  <c r="BQ49" i="1"/>
  <c r="BP49" i="1"/>
  <c r="BM49" i="1"/>
  <c r="BJ49" i="1"/>
  <c r="BI49" i="1"/>
  <c r="BH49" i="1"/>
  <c r="BF49" i="1"/>
  <c r="BE49" i="1"/>
  <c r="BD49" i="1"/>
  <c r="BA49" i="1"/>
  <c r="AY49" i="1"/>
  <c r="AX49" i="1"/>
  <c r="AW49" i="1"/>
  <c r="AT49" i="1"/>
  <c r="AS49" i="1"/>
  <c r="AR49" i="1"/>
  <c r="AP49" i="1"/>
  <c r="AO49" i="1"/>
  <c r="AN49" i="1"/>
  <c r="AM49" i="1"/>
  <c r="AL49" i="1"/>
  <c r="AK49" i="1"/>
  <c r="AJ49" i="1"/>
  <c r="AI49" i="1"/>
  <c r="AH49" i="1"/>
  <c r="AG49" i="1"/>
  <c r="AF49" i="1"/>
  <c r="AC49" i="1"/>
  <c r="AB49" i="1"/>
  <c r="AA49" i="1"/>
  <c r="Z49" i="1"/>
  <c r="Y49" i="1"/>
  <c r="X49" i="1"/>
  <c r="W49" i="1"/>
  <c r="V49" i="1"/>
  <c r="T49" i="1"/>
  <c r="S49" i="1"/>
  <c r="R49" i="1"/>
  <c r="Q49" i="1"/>
  <c r="O49" i="1"/>
  <c r="N49" i="1"/>
  <c r="M49" i="1"/>
  <c r="L49" i="1"/>
  <c r="K49" i="1"/>
  <c r="J49" i="1"/>
  <c r="H49" i="1"/>
  <c r="CY48" i="1"/>
  <c r="CL48" i="1"/>
  <c r="CC48" i="1"/>
  <c r="BL48" i="1"/>
  <c r="BG48" i="1"/>
  <c r="BC48" i="1"/>
  <c r="AE48" i="1"/>
  <c r="U48" i="1"/>
  <c r="P48" i="1"/>
  <c r="I48" i="1"/>
  <c r="DA47" i="1"/>
  <c r="CZ47" i="1"/>
  <c r="CT47" i="1"/>
  <c r="CO47" i="1"/>
  <c r="CM47" i="1"/>
  <c r="CJ47" i="1"/>
  <c r="CG47" i="1"/>
  <c r="CE47" i="1"/>
  <c r="CD47" i="1"/>
  <c r="BZ47" i="1"/>
  <c r="BY47" i="1"/>
  <c r="BX47" i="1"/>
  <c r="BW47" i="1"/>
  <c r="BV47" i="1"/>
  <c r="BU47" i="1"/>
  <c r="BT47" i="1"/>
  <c r="BS47" i="1"/>
  <c r="BR47" i="1"/>
  <c r="BQ47" i="1"/>
  <c r="BP47" i="1"/>
  <c r="BM47" i="1"/>
  <c r="BJ47" i="1"/>
  <c r="BI47" i="1"/>
  <c r="BH47" i="1"/>
  <c r="BF47" i="1"/>
  <c r="BE47" i="1"/>
  <c r="BD47" i="1"/>
  <c r="BA47" i="1"/>
  <c r="AY47" i="1"/>
  <c r="AX47" i="1"/>
  <c r="AW47" i="1"/>
  <c r="AT47" i="1"/>
  <c r="AS47" i="1"/>
  <c r="AR47" i="1"/>
  <c r="AP47" i="1"/>
  <c r="AO47" i="1"/>
  <c r="AN47" i="1"/>
  <c r="AM47" i="1"/>
  <c r="AL47" i="1"/>
  <c r="AK47" i="1"/>
  <c r="AJ47" i="1"/>
  <c r="AI47" i="1"/>
  <c r="AH47" i="1"/>
  <c r="AG47" i="1"/>
  <c r="AF47" i="1"/>
  <c r="AC47" i="1"/>
  <c r="AB47" i="1"/>
  <c r="AA47" i="1"/>
  <c r="Z47" i="1"/>
  <c r="Y47" i="1"/>
  <c r="X47" i="1"/>
  <c r="W47" i="1"/>
  <c r="V47" i="1"/>
  <c r="T47" i="1"/>
  <c r="S47" i="1"/>
  <c r="R47" i="1"/>
  <c r="Q47" i="1"/>
  <c r="CY46" i="1"/>
  <c r="CL46" i="1"/>
  <c r="CC46" i="1"/>
  <c r="BO46" i="1"/>
  <c r="BL46" i="1"/>
  <c r="BG46" i="1"/>
  <c r="BC46" i="1"/>
  <c r="AE46" i="1"/>
  <c r="U46" i="1"/>
  <c r="P46" i="1"/>
  <c r="I46" i="1"/>
  <c r="DA45" i="1"/>
  <c r="CZ45" i="1"/>
  <c r="CT45" i="1"/>
  <c r="CO45" i="1"/>
  <c r="CM45" i="1"/>
  <c r="CJ45" i="1"/>
  <c r="CG45" i="1"/>
  <c r="CE45" i="1"/>
  <c r="CD45" i="1"/>
  <c r="BZ45" i="1"/>
  <c r="BY45" i="1"/>
  <c r="BX45" i="1"/>
  <c r="BW45" i="1"/>
  <c r="BV45" i="1"/>
  <c r="BU45" i="1"/>
  <c r="BT45" i="1"/>
  <c r="BS45" i="1"/>
  <c r="BR45" i="1"/>
  <c r="BQ45" i="1"/>
  <c r="BP45" i="1"/>
  <c r="BM45" i="1"/>
  <c r="BJ45" i="1"/>
  <c r="BI45" i="1"/>
  <c r="BH45" i="1"/>
  <c r="BF45" i="1"/>
  <c r="BE45" i="1"/>
  <c r="BD45" i="1"/>
  <c r="BA45" i="1"/>
  <c r="AY45" i="1"/>
  <c r="AX45" i="1"/>
  <c r="AW45" i="1"/>
  <c r="AT45" i="1"/>
  <c r="AS45" i="1"/>
  <c r="AR45" i="1"/>
  <c r="AP45" i="1"/>
  <c r="AO45" i="1"/>
  <c r="AN45" i="1"/>
  <c r="AM45" i="1"/>
  <c r="AL45" i="1"/>
  <c r="AK45" i="1"/>
  <c r="AJ45" i="1"/>
  <c r="AI45" i="1"/>
  <c r="AH45" i="1"/>
  <c r="AG45" i="1"/>
  <c r="AF45" i="1"/>
  <c r="AC45" i="1"/>
  <c r="AB45" i="1"/>
  <c r="AA45" i="1"/>
  <c r="Z45" i="1"/>
  <c r="Y45" i="1"/>
  <c r="X45" i="1"/>
  <c r="W45" i="1"/>
  <c r="V45" i="1"/>
  <c r="T45" i="1"/>
  <c r="S45" i="1"/>
  <c r="R45" i="1"/>
  <c r="Q45" i="1"/>
  <c r="O45" i="1"/>
  <c r="N45" i="1"/>
  <c r="M45" i="1"/>
  <c r="L45" i="1"/>
  <c r="K45" i="1"/>
  <c r="J45" i="1"/>
  <c r="G45" i="1"/>
  <c r="CY44" i="1"/>
  <c r="CL44" i="1"/>
  <c r="CC44" i="1"/>
  <c r="BO44" i="1"/>
  <c r="BL44" i="1"/>
  <c r="BG44" i="1"/>
  <c r="BC44" i="1"/>
  <c r="AE44" i="1"/>
  <c r="U44" i="1"/>
  <c r="P44" i="1"/>
  <c r="I44" i="1"/>
  <c r="DA43" i="1"/>
  <c r="CZ43" i="1"/>
  <c r="CT43" i="1"/>
  <c r="CO43" i="1"/>
  <c r="CM43" i="1"/>
  <c r="CJ43" i="1"/>
  <c r="CG43" i="1"/>
  <c r="CE43" i="1"/>
  <c r="CD43" i="1"/>
  <c r="BZ43" i="1"/>
  <c r="BY43" i="1"/>
  <c r="BX43" i="1"/>
  <c r="BW43" i="1"/>
  <c r="BV43" i="1"/>
  <c r="BU43" i="1"/>
  <c r="BT43" i="1"/>
  <c r="BS43" i="1"/>
  <c r="BR43" i="1"/>
  <c r="BQ43" i="1"/>
  <c r="BP43" i="1"/>
  <c r="BM43" i="1"/>
  <c r="BJ43" i="1"/>
  <c r="BI43" i="1"/>
  <c r="BH43" i="1"/>
  <c r="BF43" i="1"/>
  <c r="BE43" i="1"/>
  <c r="BD43" i="1"/>
  <c r="BA43" i="1"/>
  <c r="AY43" i="1"/>
  <c r="AX43" i="1"/>
  <c r="AW43" i="1"/>
  <c r="AT43" i="1"/>
  <c r="AS43" i="1"/>
  <c r="AR43" i="1"/>
  <c r="AP43" i="1"/>
  <c r="AO43" i="1"/>
  <c r="AN43" i="1"/>
  <c r="AM43" i="1"/>
  <c r="AL43" i="1"/>
  <c r="AK43" i="1"/>
  <c r="AJ43" i="1"/>
  <c r="AI43" i="1"/>
  <c r="AH43" i="1"/>
  <c r="AG43" i="1"/>
  <c r="AF43" i="1"/>
  <c r="AC43" i="1"/>
  <c r="AB43" i="1"/>
  <c r="AA43" i="1"/>
  <c r="Z43" i="1"/>
  <c r="Y43" i="1"/>
  <c r="X43" i="1"/>
  <c r="W43" i="1"/>
  <c r="V43" i="1"/>
  <c r="T43" i="1"/>
  <c r="S43" i="1"/>
  <c r="R43" i="1"/>
  <c r="Q43" i="1"/>
  <c r="O43" i="1"/>
  <c r="N43" i="1"/>
  <c r="M43" i="1"/>
  <c r="L43" i="1"/>
  <c r="K43" i="1"/>
  <c r="J43" i="1"/>
  <c r="CY41" i="1"/>
  <c r="CL41" i="1"/>
  <c r="CC41" i="1"/>
  <c r="BO41" i="1"/>
  <c r="BL41" i="1"/>
  <c r="BG41" i="1"/>
  <c r="BC41" i="1"/>
  <c r="AE41" i="1"/>
  <c r="U41" i="1"/>
  <c r="P41" i="1"/>
  <c r="I41" i="1"/>
  <c r="DA40" i="1"/>
  <c r="CZ40" i="1"/>
  <c r="CT40" i="1"/>
  <c r="CO40" i="1"/>
  <c r="CM40" i="1"/>
  <c r="CJ40" i="1"/>
  <c r="CG40" i="1"/>
  <c r="CE40" i="1"/>
  <c r="CD40" i="1"/>
  <c r="BZ40" i="1"/>
  <c r="BY40" i="1"/>
  <c r="BX40" i="1"/>
  <c r="BW40" i="1"/>
  <c r="BV40" i="1"/>
  <c r="BU40" i="1"/>
  <c r="BT40" i="1"/>
  <c r="BS40" i="1"/>
  <c r="BR40" i="1"/>
  <c r="BQ40" i="1"/>
  <c r="BP40" i="1"/>
  <c r="BM40" i="1"/>
  <c r="BJ40" i="1"/>
  <c r="BI40" i="1"/>
  <c r="BH40" i="1"/>
  <c r="BF40" i="1"/>
  <c r="BE40" i="1"/>
  <c r="BD40" i="1"/>
  <c r="AX40" i="1"/>
  <c r="AW40" i="1"/>
  <c r="AT40" i="1"/>
  <c r="AS40" i="1"/>
  <c r="AR40" i="1"/>
  <c r="AP40" i="1"/>
  <c r="AO40" i="1"/>
  <c r="AN40" i="1"/>
  <c r="AM40" i="1"/>
  <c r="AL40" i="1"/>
  <c r="AK40" i="1"/>
  <c r="AJ40" i="1"/>
  <c r="AI40" i="1"/>
  <c r="AH40" i="1"/>
  <c r="AG40" i="1"/>
  <c r="AF40" i="1"/>
  <c r="AC40" i="1"/>
  <c r="AB40" i="1"/>
  <c r="AA40" i="1"/>
  <c r="Z40" i="1"/>
  <c r="Y40" i="1"/>
  <c r="X40" i="1"/>
  <c r="W40" i="1"/>
  <c r="V40" i="1"/>
  <c r="T40" i="1"/>
  <c r="S40" i="1"/>
  <c r="R40" i="1"/>
  <c r="Q40" i="1"/>
  <c r="O40" i="1"/>
  <c r="N40" i="1"/>
  <c r="M40" i="1"/>
  <c r="L40" i="1"/>
  <c r="K40" i="1"/>
  <c r="J40" i="1"/>
  <c r="CY37" i="1"/>
  <c r="CL37" i="1"/>
  <c r="CC37" i="1"/>
  <c r="BO37" i="1"/>
  <c r="BL37" i="1"/>
  <c r="BG37" i="1"/>
  <c r="BC37" i="1"/>
  <c r="Z33" i="1"/>
  <c r="P37" i="1"/>
  <c r="I37" i="1"/>
  <c r="N33" i="1"/>
  <c r="CY36" i="1"/>
  <c r="CL36" i="1"/>
  <c r="CC36" i="1"/>
  <c r="BO36" i="1"/>
  <c r="BL36" i="1"/>
  <c r="BG36" i="1"/>
  <c r="BC36" i="1"/>
  <c r="AE36" i="1"/>
  <c r="U36" i="1"/>
  <c r="P36" i="1"/>
  <c r="CY35" i="1"/>
  <c r="CL35" i="1"/>
  <c r="CC35" i="1"/>
  <c r="BO35" i="1"/>
  <c r="BL35" i="1"/>
  <c r="BG35" i="1"/>
  <c r="BC35" i="1"/>
  <c r="AE35" i="1"/>
  <c r="U35" i="1"/>
  <c r="P35" i="1"/>
  <c r="I35" i="1"/>
  <c r="R33" i="1"/>
  <c r="CY34" i="1"/>
  <c r="CL34" i="1"/>
  <c r="CC34" i="1"/>
  <c r="BO34" i="1"/>
  <c r="BL34" i="1"/>
  <c r="BG34" i="1"/>
  <c r="BC34" i="1"/>
  <c r="AE34" i="1"/>
  <c r="U34" i="1"/>
  <c r="P34" i="1"/>
  <c r="I34" i="1"/>
  <c r="DA33" i="1"/>
  <c r="CZ33" i="1"/>
  <c r="CT33" i="1"/>
  <c r="CO33" i="1"/>
  <c r="CM33" i="1"/>
  <c r="CJ33" i="1"/>
  <c r="CG33" i="1"/>
  <c r="CE33" i="1"/>
  <c r="CD33" i="1"/>
  <c r="BZ33" i="1"/>
  <c r="BY33" i="1"/>
  <c r="BX33" i="1"/>
  <c r="BW33" i="1"/>
  <c r="BV33" i="1"/>
  <c r="BU33" i="1"/>
  <c r="BT33" i="1"/>
  <c r="BS33" i="1"/>
  <c r="BR33" i="1"/>
  <c r="BQ33" i="1"/>
  <c r="BP33" i="1"/>
  <c r="BM33" i="1"/>
  <c r="BJ33" i="1"/>
  <c r="BI33" i="1"/>
  <c r="BH33" i="1"/>
  <c r="BF33" i="1"/>
  <c r="BE33" i="1"/>
  <c r="BD33" i="1"/>
  <c r="AY33" i="1"/>
  <c r="AX33" i="1"/>
  <c r="AW33" i="1"/>
  <c r="AT33" i="1"/>
  <c r="AS33" i="1"/>
  <c r="AR33" i="1"/>
  <c r="AP33" i="1"/>
  <c r="AO33" i="1"/>
  <c r="AN33" i="1"/>
  <c r="AM33" i="1"/>
  <c r="AL33" i="1"/>
  <c r="AK33" i="1"/>
  <c r="AJ33" i="1"/>
  <c r="AI33" i="1"/>
  <c r="AH33" i="1"/>
  <c r="AG33" i="1"/>
  <c r="AF33" i="1"/>
  <c r="AC33" i="1"/>
  <c r="AB33" i="1"/>
  <c r="AA33" i="1"/>
  <c r="Y33" i="1"/>
  <c r="X33" i="1"/>
  <c r="W33" i="1"/>
  <c r="V33" i="1"/>
  <c r="T33" i="1"/>
  <c r="S33" i="1"/>
  <c r="Q33" i="1"/>
  <c r="M33" i="1"/>
  <c r="L33" i="1"/>
  <c r="J33" i="1"/>
  <c r="CY32" i="1"/>
  <c r="CL32" i="1"/>
  <c r="CC32" i="1"/>
  <c r="BO32" i="1"/>
  <c r="BL32" i="1"/>
  <c r="BG32" i="1"/>
  <c r="BC32" i="1"/>
  <c r="AE32" i="1"/>
  <c r="U32" i="1"/>
  <c r="P32" i="1"/>
  <c r="I32" i="1"/>
  <c r="DA31" i="1"/>
  <c r="CZ31" i="1"/>
  <c r="CT31" i="1"/>
  <c r="CO31" i="1"/>
  <c r="CM31" i="1"/>
  <c r="CJ31" i="1"/>
  <c r="CG31" i="1"/>
  <c r="CE31" i="1"/>
  <c r="CD31" i="1"/>
  <c r="BZ31" i="1"/>
  <c r="BY31" i="1"/>
  <c r="BX31" i="1"/>
  <c r="BW31" i="1"/>
  <c r="BV31" i="1"/>
  <c r="BU31" i="1"/>
  <c r="BT31" i="1"/>
  <c r="BS31" i="1"/>
  <c r="BR31" i="1"/>
  <c r="BQ31" i="1"/>
  <c r="BP31" i="1"/>
  <c r="BM31" i="1"/>
  <c r="BJ31" i="1"/>
  <c r="BI31" i="1"/>
  <c r="BH31" i="1"/>
  <c r="BF31" i="1"/>
  <c r="BE31" i="1"/>
  <c r="BD31" i="1"/>
  <c r="BA31" i="1"/>
  <c r="AY31" i="1"/>
  <c r="AX31" i="1"/>
  <c r="AW31" i="1"/>
  <c r="AT31" i="1"/>
  <c r="AS31" i="1"/>
  <c r="AR31" i="1"/>
  <c r="AP31" i="1"/>
  <c r="AO31" i="1"/>
  <c r="AN31" i="1"/>
  <c r="AM31" i="1"/>
  <c r="AL31" i="1"/>
  <c r="AK31" i="1"/>
  <c r="AJ31" i="1"/>
  <c r="AI31" i="1"/>
  <c r="AH31" i="1"/>
  <c r="AG31" i="1"/>
  <c r="AF31" i="1"/>
  <c r="AC31" i="1"/>
  <c r="AB31" i="1"/>
  <c r="AA31" i="1"/>
  <c r="Z31" i="1"/>
  <c r="Y31" i="1"/>
  <c r="X31" i="1"/>
  <c r="W31" i="1"/>
  <c r="V31" i="1"/>
  <c r="T31" i="1"/>
  <c r="S31" i="1"/>
  <c r="R31" i="1"/>
  <c r="Q31" i="1"/>
  <c r="O31" i="1"/>
  <c r="N31" i="1"/>
  <c r="M31" i="1"/>
  <c r="L31" i="1"/>
  <c r="K31" i="1"/>
  <c r="J31" i="1"/>
  <c r="H31" i="1"/>
  <c r="CY30" i="1"/>
  <c r="CL30" i="1"/>
  <c r="CC30" i="1"/>
  <c r="BL30" i="1"/>
  <c r="BG30" i="1"/>
  <c r="BC30" i="1"/>
  <c r="P30" i="1"/>
  <c r="I30" i="1"/>
  <c r="CY29" i="1"/>
  <c r="CL29" i="1"/>
  <c r="CC29" i="1"/>
  <c r="BO29" i="1"/>
  <c r="BL29" i="1"/>
  <c r="BG29" i="1"/>
  <c r="BC29" i="1"/>
  <c r="AE29" i="1"/>
  <c r="U29" i="1"/>
  <c r="P29" i="1"/>
  <c r="I29" i="1"/>
  <c r="CY28" i="1"/>
  <c r="CL28" i="1"/>
  <c r="BO28" i="1"/>
  <c r="BL28" i="1"/>
  <c r="BG28" i="1"/>
  <c r="BC28" i="1"/>
  <c r="U28" i="1"/>
  <c r="P28" i="1"/>
  <c r="CY27" i="1"/>
  <c r="CL27" i="1"/>
  <c r="CC27" i="1"/>
  <c r="BO27" i="1"/>
  <c r="BL27" i="1"/>
  <c r="BG27" i="1"/>
  <c r="BC27" i="1"/>
  <c r="AE27" i="1"/>
  <c r="U27" i="1"/>
  <c r="P27" i="1"/>
  <c r="I27" i="1"/>
  <c r="CY26" i="1"/>
  <c r="CL26" i="1"/>
  <c r="CC26" i="1"/>
  <c r="BO26" i="1"/>
  <c r="BL26" i="1"/>
  <c r="BG26" i="1"/>
  <c r="BC26" i="1"/>
  <c r="AE26" i="1"/>
  <c r="U26" i="1"/>
  <c r="P26" i="1"/>
  <c r="I26" i="1"/>
  <c r="CY25" i="1"/>
  <c r="CL25" i="1"/>
  <c r="CC25" i="1"/>
  <c r="BO25" i="1"/>
  <c r="BL25" i="1"/>
  <c r="BG25" i="1"/>
  <c r="BC25" i="1"/>
  <c r="AE25" i="1"/>
  <c r="U25" i="1"/>
  <c r="P25" i="1"/>
  <c r="I25" i="1"/>
  <c r="CY24" i="1"/>
  <c r="CL24" i="1"/>
  <c r="BO24" i="1"/>
  <c r="BL24" i="1"/>
  <c r="BG24" i="1"/>
  <c r="BC24" i="1"/>
  <c r="AE24" i="1"/>
  <c r="Z17" i="1"/>
  <c r="P24" i="1"/>
  <c r="CY23" i="1"/>
  <c r="CL23" i="1"/>
  <c r="CC23" i="1"/>
  <c r="BO23" i="1"/>
  <c r="BL23" i="1"/>
  <c r="BG23" i="1"/>
  <c r="BC23" i="1"/>
  <c r="AE23" i="1"/>
  <c r="U23" i="1"/>
  <c r="P23" i="1"/>
  <c r="I23" i="1"/>
  <c r="CY22" i="1"/>
  <c r="CL22" i="1"/>
  <c r="CC22" i="1"/>
  <c r="BO22" i="1"/>
  <c r="BL22" i="1"/>
  <c r="BG22" i="1"/>
  <c r="BC22" i="1"/>
  <c r="AE22" i="1"/>
  <c r="U22" i="1"/>
  <c r="P22" i="1"/>
  <c r="I22" i="1"/>
  <c r="CY21" i="1"/>
  <c r="CL21" i="1"/>
  <c r="CC21" i="1"/>
  <c r="BO21" i="1"/>
  <c r="BL21" i="1"/>
  <c r="BG21" i="1"/>
  <c r="BC21" i="1"/>
  <c r="AE21" i="1"/>
  <c r="U21" i="1"/>
  <c r="P21" i="1"/>
  <c r="I21" i="1"/>
  <c r="CY20" i="1"/>
  <c r="CL20" i="1"/>
  <c r="CC20" i="1"/>
  <c r="BO20" i="1"/>
  <c r="BL20" i="1"/>
  <c r="BG20" i="1"/>
  <c r="BC20" i="1"/>
  <c r="AE20" i="1"/>
  <c r="U20" i="1"/>
  <c r="P20" i="1"/>
  <c r="I20" i="1"/>
  <c r="CY19" i="1"/>
  <c r="CL19" i="1"/>
  <c r="CC19" i="1"/>
  <c r="BO19" i="1"/>
  <c r="BL19" i="1"/>
  <c r="BG19" i="1"/>
  <c r="BC19" i="1"/>
  <c r="AE19" i="1"/>
  <c r="U19" i="1"/>
  <c r="P19" i="1"/>
  <c r="CY18" i="1"/>
  <c r="CL18" i="1"/>
  <c r="CC18" i="1"/>
  <c r="BO18" i="1"/>
  <c r="BL18" i="1"/>
  <c r="BG18" i="1"/>
  <c r="BC18" i="1"/>
  <c r="AE18" i="1"/>
  <c r="U18" i="1"/>
  <c r="P18" i="1"/>
  <c r="I18" i="1"/>
  <c r="DA17" i="1"/>
  <c r="CZ17" i="1"/>
  <c r="CT17" i="1"/>
  <c r="CO17" i="1"/>
  <c r="CM17" i="1"/>
  <c r="CJ17" i="1"/>
  <c r="CG17" i="1"/>
  <c r="CD17" i="1"/>
  <c r="BZ17" i="1"/>
  <c r="BX17" i="1"/>
  <c r="BW17" i="1"/>
  <c r="BV17" i="1"/>
  <c r="BU17" i="1"/>
  <c r="BT17" i="1"/>
  <c r="BS17" i="1"/>
  <c r="BR17" i="1"/>
  <c r="BQ17" i="1"/>
  <c r="BP17" i="1"/>
  <c r="BM17" i="1"/>
  <c r="BJ17" i="1"/>
  <c r="BI17" i="1"/>
  <c r="BH17" i="1"/>
  <c r="BF17" i="1"/>
  <c r="BE17" i="1"/>
  <c r="BD17" i="1"/>
  <c r="AY17" i="1"/>
  <c r="AX17" i="1"/>
  <c r="AW17" i="1"/>
  <c r="AT17" i="1"/>
  <c r="AS17" i="1"/>
  <c r="AR17" i="1"/>
  <c r="AO17" i="1"/>
  <c r="AN17" i="1"/>
  <c r="AL17" i="1"/>
  <c r="AJ17" i="1"/>
  <c r="AG17" i="1"/>
  <c r="AF17" i="1"/>
  <c r="AC17" i="1"/>
  <c r="AB17" i="1"/>
  <c r="AA17" i="1"/>
  <c r="X17" i="1"/>
  <c r="V17" i="1"/>
  <c r="T17" i="1"/>
  <c r="S17" i="1"/>
  <c r="Q17" i="1"/>
  <c r="M17" i="1"/>
  <c r="L17" i="1"/>
  <c r="K17" i="1"/>
  <c r="J17" i="1"/>
  <c r="CY16" i="1"/>
  <c r="CL16" i="1"/>
  <c r="CC16" i="1"/>
  <c r="BO16" i="1"/>
  <c r="BL16" i="1"/>
  <c r="BG16" i="1"/>
  <c r="BC16" i="1"/>
  <c r="AE16" i="1"/>
  <c r="U16" i="1"/>
  <c r="P16" i="1"/>
  <c r="I16" i="1"/>
  <c r="CY15" i="1"/>
  <c r="CL15" i="1"/>
  <c r="CC15" i="1"/>
  <c r="BO15" i="1"/>
  <c r="BL15" i="1"/>
  <c r="BG15" i="1"/>
  <c r="BC15" i="1"/>
  <c r="U15" i="1"/>
  <c r="P15" i="1"/>
  <c r="I15" i="1"/>
  <c r="CY14" i="1"/>
  <c r="CL14" i="1"/>
  <c r="CC14" i="1"/>
  <c r="BY13" i="1"/>
  <c r="BL14" i="1"/>
  <c r="BG14" i="1"/>
  <c r="BC14" i="1"/>
  <c r="AE14" i="1"/>
  <c r="W13" i="1"/>
  <c r="P14" i="1"/>
  <c r="I14" i="1"/>
  <c r="DA13" i="1"/>
  <c r="CZ13" i="1"/>
  <c r="CT13" i="1"/>
  <c r="CO13" i="1"/>
  <c r="CM13" i="1"/>
  <c r="CJ13" i="1"/>
  <c r="CG13" i="1"/>
  <c r="CE13" i="1"/>
  <c r="CD13" i="1"/>
  <c r="BZ13" i="1"/>
  <c r="BX13" i="1"/>
  <c r="BW13" i="1"/>
  <c r="BV13" i="1"/>
  <c r="BU13" i="1"/>
  <c r="BT13" i="1"/>
  <c r="BS13" i="1"/>
  <c r="BR13" i="1"/>
  <c r="BQ13" i="1"/>
  <c r="BP13" i="1"/>
  <c r="BM13" i="1"/>
  <c r="BJ13" i="1"/>
  <c r="BI13" i="1"/>
  <c r="BH13" i="1"/>
  <c r="BF13" i="1"/>
  <c r="BE13" i="1"/>
  <c r="BD13" i="1"/>
  <c r="AX13" i="1"/>
  <c r="AW13" i="1"/>
  <c r="AT13" i="1"/>
  <c r="AS13" i="1"/>
  <c r="AR13" i="1"/>
  <c r="AP13" i="1"/>
  <c r="AO13" i="1"/>
  <c r="AN13" i="1"/>
  <c r="AM13" i="1"/>
  <c r="AL13" i="1"/>
  <c r="AK13" i="1"/>
  <c r="AJ13" i="1"/>
  <c r="AI13" i="1"/>
  <c r="AG13" i="1"/>
  <c r="AF13" i="1"/>
  <c r="AC13" i="1"/>
  <c r="AB13" i="1"/>
  <c r="AA13" i="1"/>
  <c r="Z13" i="1"/>
  <c r="Y13" i="1"/>
  <c r="X13" i="1"/>
  <c r="V13" i="1"/>
  <c r="T13" i="1"/>
  <c r="S13" i="1"/>
  <c r="R13" i="1"/>
  <c r="Q13" i="1"/>
  <c r="O13" i="1"/>
  <c r="N13" i="1"/>
  <c r="M13" i="1"/>
  <c r="L13" i="1"/>
  <c r="K13" i="1"/>
  <c r="J13" i="1"/>
  <c r="G13" i="1"/>
  <c r="CY12" i="1"/>
  <c r="CL12" i="1"/>
  <c r="CC12" i="1"/>
  <c r="BO12" i="1"/>
  <c r="BL12" i="1"/>
  <c r="BG12" i="1"/>
  <c r="BC12" i="1"/>
  <c r="AE12" i="1"/>
  <c r="U12" i="1"/>
  <c r="P12" i="1"/>
  <c r="I12" i="1"/>
  <c r="DA11" i="1"/>
  <c r="CZ11" i="1"/>
  <c r="CT11" i="1"/>
  <c r="CO11" i="1"/>
  <c r="CM11" i="1"/>
  <c r="CJ11" i="1"/>
  <c r="CG11" i="1"/>
  <c r="CE11" i="1"/>
  <c r="CD11" i="1"/>
  <c r="BZ11" i="1"/>
  <c r="BY11" i="1"/>
  <c r="BX11" i="1"/>
  <c r="BW11" i="1"/>
  <c r="BV11" i="1"/>
  <c r="BU11" i="1"/>
  <c r="BT11" i="1"/>
  <c r="BS11" i="1"/>
  <c r="BR11" i="1"/>
  <c r="BQ11" i="1"/>
  <c r="BP11" i="1"/>
  <c r="BM11" i="1"/>
  <c r="BJ11" i="1"/>
  <c r="BI11" i="1"/>
  <c r="BH11" i="1"/>
  <c r="BF11" i="1"/>
  <c r="BE11" i="1"/>
  <c r="BD11" i="1"/>
  <c r="BA11" i="1"/>
  <c r="AY11" i="1"/>
  <c r="AX11" i="1"/>
  <c r="AW11" i="1"/>
  <c r="AT11" i="1"/>
  <c r="AS11" i="1"/>
  <c r="AR11" i="1"/>
  <c r="AP11" i="1"/>
  <c r="AO11" i="1"/>
  <c r="AN11" i="1"/>
  <c r="AM11" i="1"/>
  <c r="AL11" i="1"/>
  <c r="AK11" i="1"/>
  <c r="AJ11" i="1"/>
  <c r="AI11" i="1"/>
  <c r="AH11" i="1"/>
  <c r="AG11" i="1"/>
  <c r="AF11" i="1"/>
  <c r="AC11" i="1"/>
  <c r="AB11" i="1"/>
  <c r="AA11" i="1"/>
  <c r="Z11" i="1"/>
  <c r="Y11" i="1"/>
  <c r="X11" i="1"/>
  <c r="W11" i="1"/>
  <c r="V11" i="1"/>
  <c r="T11" i="1"/>
  <c r="S11" i="1"/>
  <c r="R11" i="1"/>
  <c r="Q11" i="1"/>
  <c r="O11" i="1"/>
  <c r="N11" i="1"/>
  <c r="M11" i="1"/>
  <c r="L11" i="1"/>
  <c r="K11" i="1"/>
  <c r="J11" i="1"/>
  <c r="K62" i="1"/>
  <c r="DA240" i="1"/>
  <c r="AE309" i="1"/>
  <c r="AI163" i="1"/>
  <c r="AW308" i="1"/>
  <c r="O123" i="1"/>
  <c r="AE159" i="1"/>
  <c r="CC309" i="1"/>
  <c r="CE308" i="1"/>
  <c r="G17" i="1"/>
  <c r="CE163" i="1"/>
  <c r="CE127" i="1"/>
  <c r="I164" i="1"/>
  <c r="J163" i="1"/>
  <c r="AE224" i="1"/>
  <c r="BI303" i="1"/>
  <c r="CL222" i="1" l="1"/>
  <c r="K225" i="1"/>
  <c r="AJ225" i="1"/>
  <c r="AT225" i="1"/>
  <c r="BF225" i="1"/>
  <c r="BS225" i="1"/>
  <c r="CD225" i="1"/>
  <c r="P222" i="1"/>
  <c r="CY222" i="1"/>
  <c r="L225" i="1"/>
  <c r="AL225" i="1"/>
  <c r="AU225" i="1"/>
  <c r="BH225" i="1"/>
  <c r="BT225" i="1"/>
  <c r="CG225" i="1"/>
  <c r="DA225" i="1"/>
  <c r="U222" i="1"/>
  <c r="M225" i="1"/>
  <c r="AM225" i="1"/>
  <c r="AV225" i="1"/>
  <c r="BI225" i="1"/>
  <c r="BU225" i="1"/>
  <c r="CJ225" i="1"/>
  <c r="BC222" i="1"/>
  <c r="Q225" i="1"/>
  <c r="AN225" i="1"/>
  <c r="AW225" i="1"/>
  <c r="BJ225" i="1"/>
  <c r="BV225" i="1"/>
  <c r="CO225" i="1"/>
  <c r="BG222" i="1"/>
  <c r="S225" i="1"/>
  <c r="AO225" i="1"/>
  <c r="AX225" i="1"/>
  <c r="BM225" i="1"/>
  <c r="BW225" i="1"/>
  <c r="CT225" i="1"/>
  <c r="AE222" i="1"/>
  <c r="BL222" i="1"/>
  <c r="AB225" i="1"/>
  <c r="AP225" i="1"/>
  <c r="AY225" i="1"/>
  <c r="BP225" i="1"/>
  <c r="BX225" i="1"/>
  <c r="CZ225" i="1"/>
  <c r="BO222" i="1"/>
  <c r="G225" i="1"/>
  <c r="AF225" i="1"/>
  <c r="AR225" i="1"/>
  <c r="BD225" i="1"/>
  <c r="BQ225" i="1"/>
  <c r="BY225" i="1"/>
  <c r="CC222" i="1"/>
  <c r="H225" i="1"/>
  <c r="AG225" i="1"/>
  <c r="AS225" i="1"/>
  <c r="BE225" i="1"/>
  <c r="BR225" i="1"/>
  <c r="BZ225" i="1"/>
  <c r="O99" i="1"/>
  <c r="Y99" i="1"/>
  <c r="AI99" i="1"/>
  <c r="AR99" i="1"/>
  <c r="BE99" i="1"/>
  <c r="BR99" i="1"/>
  <c r="BZ99" i="1"/>
  <c r="CZ99" i="1"/>
  <c r="F82" i="1"/>
  <c r="V99" i="1"/>
  <c r="BM99" i="1"/>
  <c r="Q99" i="1"/>
  <c r="Z99" i="1"/>
  <c r="AJ99" i="1"/>
  <c r="AS99" i="1"/>
  <c r="BF99" i="1"/>
  <c r="BS99" i="1"/>
  <c r="CD99" i="1"/>
  <c r="DA99" i="1"/>
  <c r="AN99" i="1"/>
  <c r="BW99" i="1"/>
  <c r="G99" i="1"/>
  <c r="R99" i="1"/>
  <c r="AA99" i="1"/>
  <c r="AK99" i="1"/>
  <c r="AT99" i="1"/>
  <c r="BH99" i="1"/>
  <c r="BT99" i="1"/>
  <c r="CE99" i="1"/>
  <c r="J99" i="1"/>
  <c r="S99" i="1"/>
  <c r="AB99" i="1"/>
  <c r="AL99" i="1"/>
  <c r="AW99" i="1"/>
  <c r="BI99" i="1"/>
  <c r="BU99" i="1"/>
  <c r="CG99" i="1"/>
  <c r="K99" i="1"/>
  <c r="T99" i="1"/>
  <c r="AC99" i="1"/>
  <c r="AM99" i="1"/>
  <c r="AX99" i="1"/>
  <c r="BJ99" i="1"/>
  <c r="BV99" i="1"/>
  <c r="CJ99" i="1"/>
  <c r="L99" i="1"/>
  <c r="AY99" i="1"/>
  <c r="CM99" i="1"/>
  <c r="M99" i="1"/>
  <c r="W99" i="1"/>
  <c r="AG99" i="1"/>
  <c r="AO99" i="1"/>
  <c r="BA99" i="1"/>
  <c r="BP99" i="1"/>
  <c r="BX99" i="1"/>
  <c r="CO99" i="1"/>
  <c r="AF99" i="1"/>
  <c r="N99" i="1"/>
  <c r="X99" i="1"/>
  <c r="AH99" i="1"/>
  <c r="AP99" i="1"/>
  <c r="BD99" i="1"/>
  <c r="BQ99" i="1"/>
  <c r="BY99" i="1"/>
  <c r="CT99" i="1"/>
  <c r="F149" i="1"/>
  <c r="P290" i="1"/>
  <c r="CY290" i="1"/>
  <c r="AE305" i="1"/>
  <c r="U290" i="1"/>
  <c r="BC305" i="1"/>
  <c r="BC290" i="1"/>
  <c r="BG305" i="1"/>
  <c r="BG290" i="1"/>
  <c r="BL305" i="1"/>
  <c r="BL290" i="1"/>
  <c r="BO305" i="1"/>
  <c r="BO290" i="1"/>
  <c r="CC305" i="1"/>
  <c r="CC290" i="1"/>
  <c r="P305" i="1"/>
  <c r="CL305" i="1"/>
  <c r="CL290" i="1"/>
  <c r="U305" i="1"/>
  <c r="CY305" i="1"/>
  <c r="F258" i="1"/>
  <c r="F68" i="1"/>
  <c r="BC83" i="1"/>
  <c r="F90" i="1"/>
  <c r="F120" i="1"/>
  <c r="F132" i="1"/>
  <c r="F275" i="1"/>
  <c r="W153" i="1"/>
  <c r="BF153" i="1"/>
  <c r="BS153" i="1"/>
  <c r="CD153" i="1"/>
  <c r="V153" i="1"/>
  <c r="BE153" i="1"/>
  <c r="BR153" i="1"/>
  <c r="BZ153" i="1"/>
  <c r="DA153" i="1"/>
  <c r="F150" i="1"/>
  <c r="F206" i="1"/>
  <c r="F243" i="1"/>
  <c r="F122" i="1"/>
  <c r="F172" i="1"/>
  <c r="F181" i="1"/>
  <c r="F192" i="1"/>
  <c r="F197" i="1"/>
  <c r="BJ153" i="1"/>
  <c r="BV153" i="1"/>
  <c r="F16" i="1"/>
  <c r="F23" i="1"/>
  <c r="F32" i="1"/>
  <c r="F35" i="1"/>
  <c r="F50" i="1"/>
  <c r="F55" i="1"/>
  <c r="F86" i="1"/>
  <c r="F205" i="1"/>
  <c r="F218" i="1"/>
  <c r="F242" i="1"/>
  <c r="F317" i="1"/>
  <c r="F207" i="1"/>
  <c r="F25" i="1"/>
  <c r="F34" i="1"/>
  <c r="F58" i="1"/>
  <c r="F60" i="1"/>
  <c r="F65" i="1"/>
  <c r="F70" i="1"/>
  <c r="F121" i="1"/>
  <c r="F124" i="1"/>
  <c r="F134" i="1"/>
  <c r="F251" i="1"/>
  <c r="F259" i="1"/>
  <c r="F276" i="1"/>
  <c r="F288" i="1"/>
  <c r="F315" i="1"/>
  <c r="F111" i="1"/>
  <c r="F201" i="1"/>
  <c r="F126" i="1"/>
  <c r="F128" i="1"/>
  <c r="F136" i="1"/>
  <c r="F141" i="1"/>
  <c r="BM153" i="1"/>
  <c r="BW153" i="1"/>
  <c r="CO153" i="1"/>
  <c r="F167" i="1"/>
  <c r="F170" i="1"/>
  <c r="F183" i="1"/>
  <c r="F194" i="1"/>
  <c r="F202" i="1"/>
  <c r="I222" i="1"/>
  <c r="F224" i="1"/>
  <c r="F247" i="1"/>
  <c r="F255" i="1"/>
  <c r="F272" i="1"/>
  <c r="F283" i="1"/>
  <c r="F311" i="1"/>
  <c r="F18" i="1"/>
  <c r="F21" i="1"/>
  <c r="F27" i="1"/>
  <c r="F46" i="1"/>
  <c r="BG83" i="1"/>
  <c r="F105" i="1"/>
  <c r="F145" i="1"/>
  <c r="F152" i="1"/>
  <c r="F176" i="1"/>
  <c r="F195" i="1"/>
  <c r="F200" i="1"/>
  <c r="F211" i="1"/>
  <c r="F227" i="1"/>
  <c r="F245" i="1"/>
  <c r="F253" i="1"/>
  <c r="F261" i="1"/>
  <c r="F269" i="1"/>
  <c r="F281" i="1"/>
  <c r="F12" i="1"/>
  <c r="BL83" i="1"/>
  <c r="F87" i="1"/>
  <c r="F129" i="1"/>
  <c r="F137" i="1"/>
  <c r="F142" i="1"/>
  <c r="F164" i="1"/>
  <c r="F185" i="1"/>
  <c r="F189" i="1"/>
  <c r="F191" i="1"/>
  <c r="F196" i="1"/>
  <c r="F203" i="1"/>
  <c r="F238" i="1"/>
  <c r="F248" i="1"/>
  <c r="F256" i="1"/>
  <c r="F273" i="1"/>
  <c r="F304" i="1"/>
  <c r="BO83" i="1"/>
  <c r="F22" i="1"/>
  <c r="F29" i="1"/>
  <c r="F41" i="1"/>
  <c r="F72" i="1"/>
  <c r="F76" i="1"/>
  <c r="F85" i="1"/>
  <c r="I83" i="1"/>
  <c r="CC83" i="1"/>
  <c r="F95" i="1"/>
  <c r="F108" i="1"/>
  <c r="F146" i="1"/>
  <c r="F169" i="1"/>
  <c r="F177" i="1"/>
  <c r="F221" i="1"/>
  <c r="F235" i="1"/>
  <c r="F246" i="1"/>
  <c r="F254" i="1"/>
  <c r="F262" i="1"/>
  <c r="F270" i="1"/>
  <c r="I305" i="1"/>
  <c r="F306" i="1"/>
  <c r="F48" i="1"/>
  <c r="F52" i="1"/>
  <c r="P83" i="1"/>
  <c r="CL83" i="1"/>
  <c r="F138" i="1"/>
  <c r="F143" i="1"/>
  <c r="F204" i="1"/>
  <c r="F217" i="1"/>
  <c r="F241" i="1"/>
  <c r="F249" i="1"/>
  <c r="F257" i="1"/>
  <c r="F274" i="1"/>
  <c r="F285" i="1"/>
  <c r="F313" i="1"/>
  <c r="F20" i="1"/>
  <c r="F26" i="1"/>
  <c r="F44" i="1"/>
  <c r="F66" i="1"/>
  <c r="F78" i="1"/>
  <c r="U83" i="1"/>
  <c r="CY83" i="1"/>
  <c r="F98" i="1"/>
  <c r="F151" i="1"/>
  <c r="F158" i="1"/>
  <c r="F174" i="1"/>
  <c r="F179" i="1"/>
  <c r="F187" i="1"/>
  <c r="F193" i="1"/>
  <c r="F199" i="1"/>
  <c r="F244" i="1"/>
  <c r="F252" i="1"/>
  <c r="F260" i="1"/>
  <c r="F277" i="1"/>
  <c r="I290" i="1"/>
  <c r="F180" i="1"/>
  <c r="F250" i="1"/>
  <c r="F81" i="1"/>
  <c r="F89" i="1"/>
  <c r="AE83" i="1"/>
  <c r="BH153" i="1"/>
  <c r="BP153" i="1"/>
  <c r="BT153" i="1"/>
  <c r="BX153" i="1"/>
  <c r="CT153" i="1"/>
  <c r="S153" i="1"/>
  <c r="BD153" i="1"/>
  <c r="BI153" i="1"/>
  <c r="BQ153" i="1"/>
  <c r="BU153" i="1"/>
  <c r="BY153" i="1"/>
  <c r="CZ153" i="1"/>
  <c r="M153" i="1"/>
  <c r="AO153" i="1"/>
  <c r="J153" i="1"/>
  <c r="AP153" i="1"/>
  <c r="Z153" i="1"/>
  <c r="CG153" i="1"/>
  <c r="BB237" i="1"/>
  <c r="Q153" i="1"/>
  <c r="Y153" i="1"/>
  <c r="AC153" i="1"/>
  <c r="AL153" i="1"/>
  <c r="AX153" i="1"/>
  <c r="K153" i="1"/>
  <c r="AA153" i="1"/>
  <c r="AF153" i="1"/>
  <c r="AJ153" i="1"/>
  <c r="AT153" i="1"/>
  <c r="CJ153" i="1"/>
  <c r="AR153" i="1"/>
  <c r="AK153" i="1"/>
  <c r="AW153" i="1"/>
  <c r="AM153" i="1"/>
  <c r="AY153" i="1"/>
  <c r="L153" i="1"/>
  <c r="AB153" i="1"/>
  <c r="AG153" i="1"/>
  <c r="N286" i="1"/>
  <c r="CY316" i="1"/>
  <c r="BB34" i="1"/>
  <c r="BB35" i="1"/>
  <c r="BB36" i="1"/>
  <c r="BB48" i="1"/>
  <c r="BB52" i="1"/>
  <c r="BD53" i="1"/>
  <c r="BF53" i="1"/>
  <c r="BI53" i="1"/>
  <c r="BM53" i="1"/>
  <c r="BQ53" i="1"/>
  <c r="BS53" i="1"/>
  <c r="BU53" i="1"/>
  <c r="BW53" i="1"/>
  <c r="BY53" i="1"/>
  <c r="CD53" i="1"/>
  <c r="CG53" i="1"/>
  <c r="CM53" i="1"/>
  <c r="CT53" i="1"/>
  <c r="DA53" i="1"/>
  <c r="BB41" i="1"/>
  <c r="BB37" i="1"/>
  <c r="BB44" i="1"/>
  <c r="BB46" i="1"/>
  <c r="BB50" i="1"/>
  <c r="BE53" i="1"/>
  <c r="BH53" i="1"/>
  <c r="BJ53" i="1"/>
  <c r="BP53" i="1"/>
  <c r="BR53" i="1"/>
  <c r="BT53" i="1"/>
  <c r="BV53" i="1"/>
  <c r="BX53" i="1"/>
  <c r="BZ53" i="1"/>
  <c r="CJ53" i="1"/>
  <c r="CO53" i="1"/>
  <c r="CZ53" i="1"/>
  <c r="BB55" i="1"/>
  <c r="CE53" i="1"/>
  <c r="AG53" i="1"/>
  <c r="AI53" i="1"/>
  <c r="AK53" i="1"/>
  <c r="AM53" i="1"/>
  <c r="AO53" i="1"/>
  <c r="AR53" i="1"/>
  <c r="AT53" i="1"/>
  <c r="AX53" i="1"/>
  <c r="BA53" i="1"/>
  <c r="AF53" i="1"/>
  <c r="AH53" i="1"/>
  <c r="AJ53" i="1"/>
  <c r="AL53" i="1"/>
  <c r="AN53" i="1"/>
  <c r="AP53" i="1"/>
  <c r="AS53" i="1"/>
  <c r="AW53" i="1"/>
  <c r="AY53" i="1"/>
  <c r="W53" i="1"/>
  <c r="Y53" i="1"/>
  <c r="AA53" i="1"/>
  <c r="AC53" i="1"/>
  <c r="V53" i="1"/>
  <c r="X53" i="1"/>
  <c r="Z53" i="1"/>
  <c r="AB53" i="1"/>
  <c r="R53" i="1"/>
  <c r="T53" i="1"/>
  <c r="Q53" i="1"/>
  <c r="S53" i="1"/>
  <c r="J53" i="1"/>
  <c r="L53" i="1"/>
  <c r="N53" i="1"/>
  <c r="K53" i="1"/>
  <c r="M53" i="1"/>
  <c r="O53" i="1"/>
  <c r="U100" i="1"/>
  <c r="BC100" i="1"/>
  <c r="BO100" i="1"/>
  <c r="CF100" i="1"/>
  <c r="U112" i="1"/>
  <c r="BC112" i="1"/>
  <c r="CL112" i="1"/>
  <c r="AE100" i="1"/>
  <c r="CL100" i="1"/>
  <c r="AE112" i="1"/>
  <c r="BG112" i="1"/>
  <c r="BO112" i="1"/>
  <c r="CF112" i="1"/>
  <c r="I100" i="1"/>
  <c r="CY100" i="1"/>
  <c r="I112" i="1"/>
  <c r="BL112" i="1"/>
  <c r="CC112" i="1"/>
  <c r="P100" i="1"/>
  <c r="BL100" i="1"/>
  <c r="CC100" i="1"/>
  <c r="P112" i="1"/>
  <c r="CY112" i="1"/>
  <c r="AE301" i="1"/>
  <c r="CY308" i="1"/>
  <c r="CL178" i="1"/>
  <c r="BO210" i="1"/>
  <c r="I309" i="1"/>
  <c r="BG303" i="1"/>
  <c r="AO10" i="1"/>
  <c r="AR10" i="1"/>
  <c r="AX10" i="1"/>
  <c r="AW10" i="1"/>
  <c r="AS10" i="1"/>
  <c r="AT10" i="1"/>
  <c r="CX243" i="1"/>
  <c r="CX259" i="1"/>
  <c r="I265" i="1"/>
  <c r="CL284" i="1"/>
  <c r="BC308" i="1"/>
  <c r="CX317" i="1"/>
  <c r="J308" i="1"/>
  <c r="CX315" i="1"/>
  <c r="I316" i="1"/>
  <c r="I282" i="1"/>
  <c r="CX304" i="1"/>
  <c r="U316" i="1"/>
  <c r="AE310" i="1"/>
  <c r="U287" i="1"/>
  <c r="CL282" i="1"/>
  <c r="CX251" i="1"/>
  <c r="AE265" i="1"/>
  <c r="BB252" i="1"/>
  <c r="AP286" i="1"/>
  <c r="BX215" i="1"/>
  <c r="AW286" i="1"/>
  <c r="BO284" i="1"/>
  <c r="CX288" i="1"/>
  <c r="CY220" i="1"/>
  <c r="CC312" i="1"/>
  <c r="BB254" i="1"/>
  <c r="CX237" i="1"/>
  <c r="BV209" i="1"/>
  <c r="CX306" i="1"/>
  <c r="P220" i="1"/>
  <c r="AV289" i="1"/>
  <c r="CF265" i="1"/>
  <c r="BO265" i="1"/>
  <c r="CX217" i="1"/>
  <c r="CB315" i="1"/>
  <c r="CL312" i="1"/>
  <c r="CX269" i="1"/>
  <c r="U188" i="1"/>
  <c r="U314" i="1"/>
  <c r="CF220" i="1"/>
  <c r="BL316" i="1"/>
  <c r="CX227" i="1"/>
  <c r="BB288" i="1"/>
  <c r="BB241" i="1"/>
  <c r="CX221" i="1"/>
  <c r="CC198" i="1"/>
  <c r="BO216" i="1"/>
  <c r="CB274" i="1"/>
  <c r="I186" i="1"/>
  <c r="CC310" i="1"/>
  <c r="CC316" i="1"/>
  <c r="BB244" i="1"/>
  <c r="BL303" i="1"/>
  <c r="T286" i="1"/>
  <c r="BG282" i="1"/>
  <c r="CX274" i="1"/>
  <c r="CX238" i="1"/>
  <c r="CE215" i="1"/>
  <c r="BA215" i="1"/>
  <c r="CX208" i="1"/>
  <c r="CL310" i="1"/>
  <c r="AE287" i="1"/>
  <c r="BT286" i="1"/>
  <c r="CX224" i="1"/>
  <c r="BO220" i="1"/>
  <c r="AJ215" i="1"/>
  <c r="BC186" i="1"/>
  <c r="CC140" i="1"/>
  <c r="U165" i="1"/>
  <c r="I173" i="1"/>
  <c r="P182" i="1"/>
  <c r="BB194" i="1"/>
  <c r="BL168" i="1"/>
  <c r="CX149" i="1"/>
  <c r="BC284" i="1"/>
  <c r="CB227" i="1"/>
  <c r="BB262" i="1"/>
  <c r="BL240" i="1"/>
  <c r="CX191" i="1"/>
  <c r="CJ286" i="1"/>
  <c r="AE303" i="1"/>
  <c r="CX262" i="1"/>
  <c r="CX255" i="1"/>
  <c r="CX247" i="1"/>
  <c r="BY61" i="1"/>
  <c r="CY173" i="1"/>
  <c r="CB187" i="1"/>
  <c r="CY188" i="1"/>
  <c r="BG190" i="1"/>
  <c r="AA62" i="1"/>
  <c r="AS147" i="1"/>
  <c r="CB221" i="1"/>
  <c r="W17" i="1"/>
  <c r="R17" i="1"/>
  <c r="U155" i="1"/>
  <c r="AK17" i="1"/>
  <c r="AR62" i="1"/>
  <c r="CE71" i="1"/>
  <c r="AT127" i="1"/>
  <c r="CE147" i="1"/>
  <c r="O165" i="1"/>
  <c r="G54" i="1"/>
  <c r="G57" i="1"/>
  <c r="H59" i="1"/>
  <c r="H67" i="1"/>
  <c r="H73" i="1"/>
  <c r="H80" i="1"/>
  <c r="H104" i="1"/>
  <c r="H119" i="1"/>
  <c r="T154" i="1"/>
  <c r="R154" i="1"/>
  <c r="I159" i="1"/>
  <c r="AE117" i="1"/>
  <c r="BA154" i="1"/>
  <c r="AN157" i="1"/>
  <c r="U159" i="1"/>
  <c r="BO147" i="1"/>
  <c r="CX183" i="1"/>
  <c r="CF188" i="1"/>
  <c r="CB193" i="1"/>
  <c r="CB203" i="1"/>
  <c r="BB206" i="1"/>
  <c r="BL198" i="1"/>
  <c r="BL216" i="1"/>
  <c r="CB237" i="1"/>
  <c r="CX241" i="1"/>
  <c r="CX242" i="1"/>
  <c r="CX244" i="1"/>
  <c r="CB246" i="1"/>
  <c r="CX246" i="1"/>
  <c r="CB248" i="1"/>
  <c r="CX248" i="1"/>
  <c r="CB250" i="1"/>
  <c r="CX250" i="1"/>
  <c r="CX252" i="1"/>
  <c r="BB253" i="1"/>
  <c r="CB253" i="1"/>
  <c r="CX254" i="1"/>
  <c r="BB255" i="1"/>
  <c r="CX256" i="1"/>
  <c r="CX258" i="1"/>
  <c r="CB259" i="1"/>
  <c r="CX260" i="1"/>
  <c r="BB261" i="1"/>
  <c r="CX264" i="1"/>
  <c r="U265" i="1"/>
  <c r="BC265" i="1"/>
  <c r="BL265" i="1"/>
  <c r="CC265" i="1"/>
  <c r="CL265" i="1"/>
  <c r="CB270" i="1"/>
  <c r="BB273" i="1"/>
  <c r="BB275" i="1"/>
  <c r="CB277" i="1"/>
  <c r="BC282" i="1"/>
  <c r="BL282" i="1"/>
  <c r="CB283" i="1"/>
  <c r="CC282" i="1"/>
  <c r="I284" i="1"/>
  <c r="BB285" i="1"/>
  <c r="BL284" i="1"/>
  <c r="AG286" i="1"/>
  <c r="BW286" i="1"/>
  <c r="CG286" i="1"/>
  <c r="CZ286" i="1"/>
  <c r="I287" i="1"/>
  <c r="BC287" i="1"/>
  <c r="BL287" i="1"/>
  <c r="BB301" i="1"/>
  <c r="P303" i="1"/>
  <c r="CF303" i="1"/>
  <c r="CY303" i="1"/>
  <c r="CX309" i="1"/>
  <c r="P310" i="1"/>
  <c r="BO310" i="1"/>
  <c r="BO314" i="1"/>
  <c r="BO316" i="1"/>
  <c r="CB111" i="1"/>
  <c r="CX155" i="1"/>
  <c r="BB207" i="1"/>
  <c r="BB309" i="1"/>
  <c r="BT289" i="1"/>
  <c r="BG240" i="1"/>
  <c r="CY184" i="1"/>
  <c r="BB277" i="1"/>
  <c r="CB241" i="1"/>
  <c r="BB224" i="1"/>
  <c r="BB317" i="1"/>
  <c r="CC284" i="1"/>
  <c r="BB276" i="1"/>
  <c r="BB258" i="1"/>
  <c r="CB247" i="1"/>
  <c r="Q289" i="1"/>
  <c r="CB164" i="1"/>
  <c r="BB274" i="1"/>
  <c r="BB250" i="1"/>
  <c r="CB285" i="1"/>
  <c r="BB315" i="1"/>
  <c r="BB263" i="1"/>
  <c r="BG314" i="1"/>
  <c r="CX311" i="1"/>
  <c r="BL308" i="1"/>
  <c r="BY286" i="1"/>
  <c r="U284" i="1"/>
  <c r="CL216" i="1"/>
  <c r="CX207" i="1"/>
  <c r="BG316" i="1"/>
  <c r="BG312" i="1"/>
  <c r="CD286" i="1"/>
  <c r="U282" i="1"/>
  <c r="CX261" i="1"/>
  <c r="CX257" i="1"/>
  <c r="CX253" i="1"/>
  <c r="CX249" i="1"/>
  <c r="CX245" i="1"/>
  <c r="BC140" i="1"/>
  <c r="P127" i="1"/>
  <c r="BC147" i="1"/>
  <c r="CX128" i="1"/>
  <c r="CX120" i="1"/>
  <c r="CC165" i="1"/>
  <c r="BL147" i="1"/>
  <c r="CL165" i="1"/>
  <c r="BC163" i="1"/>
  <c r="BL165" i="1"/>
  <c r="U171" i="1"/>
  <c r="BL163" i="1"/>
  <c r="P38" i="1"/>
  <c r="BG38" i="1"/>
  <c r="CF38" i="1"/>
  <c r="I59" i="1"/>
  <c r="BG64" i="1"/>
  <c r="AE165" i="1"/>
  <c r="BB166" i="1"/>
  <c r="CX166" i="1"/>
  <c r="U168" i="1"/>
  <c r="BC168" i="1"/>
  <c r="CC168" i="1"/>
  <c r="CL168" i="1"/>
  <c r="BE162" i="1"/>
  <c r="BB172" i="1"/>
  <c r="AE173" i="1"/>
  <c r="BO173" i="1"/>
  <c r="CX174" i="1"/>
  <c r="CX176" i="1"/>
  <c r="AL175" i="1"/>
  <c r="CB179" i="1"/>
  <c r="CX179" i="1"/>
  <c r="I182" i="1"/>
  <c r="CF182" i="1"/>
  <c r="P186" i="1"/>
  <c r="AE186" i="1"/>
  <c r="BG186" i="1"/>
  <c r="BO186" i="1"/>
  <c r="CF186" i="1"/>
  <c r="CX187" i="1"/>
  <c r="P188" i="1"/>
  <c r="AE188" i="1"/>
  <c r="BO188" i="1"/>
  <c r="CX189" i="1"/>
  <c r="BB191" i="1"/>
  <c r="BB192" i="1"/>
  <c r="CB192" i="1"/>
  <c r="CL190" i="1"/>
  <c r="CX194" i="1"/>
  <c r="CX195" i="1"/>
  <c r="BB196" i="1"/>
  <c r="CX197" i="1"/>
  <c r="BG198" i="1"/>
  <c r="CB199" i="1"/>
  <c r="CY198" i="1"/>
  <c r="CX203" i="1"/>
  <c r="CB204" i="1"/>
  <c r="CB205" i="1"/>
  <c r="CB208" i="1"/>
  <c r="J209" i="1"/>
  <c r="AK209" i="1"/>
  <c r="BD209" i="1"/>
  <c r="CG209" i="1"/>
  <c r="BC210" i="1"/>
  <c r="CL210" i="1"/>
  <c r="N215" i="1"/>
  <c r="AM215" i="1"/>
  <c r="AY215" i="1"/>
  <c r="CD215" i="1"/>
  <c r="CZ215" i="1"/>
  <c r="I216" i="1"/>
  <c r="BB217" i="1"/>
  <c r="CC216" i="1"/>
  <c r="CB218" i="1"/>
  <c r="BB221" i="1"/>
  <c r="BL220" i="1"/>
  <c r="CC220" i="1"/>
  <c r="CB224" i="1"/>
  <c r="BB227" i="1"/>
  <c r="BB235" i="1"/>
  <c r="CB235" i="1"/>
  <c r="CX235" i="1"/>
  <c r="BB238" i="1"/>
  <c r="CB238" i="1"/>
  <c r="CL287" i="1"/>
  <c r="CF316" i="1"/>
  <c r="AE308" i="1"/>
  <c r="I31" i="1"/>
  <c r="AE38" i="1"/>
  <c r="BO38" i="1"/>
  <c r="CY38" i="1"/>
  <c r="CY40" i="1"/>
  <c r="CY43" i="1"/>
  <c r="CC45" i="1"/>
  <c r="CC47" i="1"/>
  <c r="CC59" i="1"/>
  <c r="P64" i="1"/>
  <c r="CY67" i="1"/>
  <c r="BC73" i="1"/>
  <c r="CC73" i="1"/>
  <c r="BG75" i="1"/>
  <c r="BO75" i="1"/>
  <c r="CY75" i="1"/>
  <c r="CT93" i="1"/>
  <c r="CX95" i="1"/>
  <c r="W96" i="1"/>
  <c r="AN96" i="1"/>
  <c r="BV96" i="1"/>
  <c r="BZ96" i="1"/>
  <c r="CE96" i="1"/>
  <c r="CF97" i="1"/>
  <c r="I104" i="1"/>
  <c r="BC104" i="1"/>
  <c r="CL104" i="1"/>
  <c r="U119" i="1"/>
  <c r="BC119" i="1"/>
  <c r="CC119" i="1"/>
  <c r="CX124" i="1"/>
  <c r="BC127" i="1"/>
  <c r="BL127" i="1"/>
  <c r="CL131" i="1"/>
  <c r="CF133" i="1"/>
  <c r="P135" i="1"/>
  <c r="BG135" i="1"/>
  <c r="BO135" i="1"/>
  <c r="CF135" i="1"/>
  <c r="CY135" i="1"/>
  <c r="BG140" i="1"/>
  <c r="CY140" i="1"/>
  <c r="P144" i="1"/>
  <c r="AE144" i="1"/>
  <c r="CX145" i="1"/>
  <c r="P147" i="1"/>
  <c r="BG147" i="1"/>
  <c r="CF147" i="1"/>
  <c r="CY147" i="1"/>
  <c r="CX152" i="1"/>
  <c r="CX156" i="1"/>
  <c r="BO157" i="1"/>
  <c r="AX162" i="1"/>
  <c r="P163" i="1"/>
  <c r="BG163" i="1"/>
  <c r="BO163" i="1"/>
  <c r="CX164" i="1"/>
  <c r="CF157" i="1"/>
  <c r="CL80" i="1"/>
  <c r="CY11" i="1"/>
  <c r="CY31" i="1"/>
  <c r="I38" i="1"/>
  <c r="U38" i="1"/>
  <c r="BC38" i="1"/>
  <c r="BL38" i="1"/>
  <c r="CC38" i="1"/>
  <c r="CL38" i="1"/>
  <c r="CC40" i="1"/>
  <c r="I43" i="1"/>
  <c r="CY45" i="1"/>
  <c r="CX48" i="1"/>
  <c r="I49" i="1"/>
  <c r="I51" i="1"/>
  <c r="I54" i="1"/>
  <c r="AO56" i="1"/>
  <c r="CY59" i="1"/>
  <c r="BC64" i="1"/>
  <c r="CL64" i="1"/>
  <c r="CX70" i="1"/>
  <c r="BC71" i="1"/>
  <c r="CY73" i="1"/>
  <c r="CC75" i="1"/>
  <c r="BL77" i="1"/>
  <c r="AE80" i="1"/>
  <c r="G93" i="1"/>
  <c r="AK93" i="1"/>
  <c r="AO93" i="1"/>
  <c r="I94" i="1"/>
  <c r="CM96" i="1"/>
  <c r="CZ96" i="1"/>
  <c r="I97" i="1"/>
  <c r="U97" i="1"/>
  <c r="BL97" i="1"/>
  <c r="CC97" i="1"/>
  <c r="CL97" i="1"/>
  <c r="CF104" i="1"/>
  <c r="CX105" i="1"/>
  <c r="CX108" i="1"/>
  <c r="BL110" i="1"/>
  <c r="BG116" i="1"/>
  <c r="BO116" i="1"/>
  <c r="CF116" i="1"/>
  <c r="CY116" i="1"/>
  <c r="BO119" i="1"/>
  <c r="BG127" i="1"/>
  <c r="CY131" i="1"/>
  <c r="CL133" i="1"/>
  <c r="CC135" i="1"/>
  <c r="U140" i="1"/>
  <c r="CL140" i="1"/>
  <c r="BC165" i="1"/>
  <c r="CX170" i="1"/>
  <c r="I171" i="1"/>
  <c r="BG171" i="1"/>
  <c r="CF171" i="1"/>
  <c r="CY171" i="1"/>
  <c r="CC173" i="1"/>
  <c r="I178" i="1"/>
  <c r="U178" i="1"/>
  <c r="BC178" i="1"/>
  <c r="BL178" i="1"/>
  <c r="CC178" i="1"/>
  <c r="BG182" i="1"/>
  <c r="I184" i="1"/>
  <c r="BC184" i="1"/>
  <c r="CC184" i="1"/>
  <c r="CL186" i="1"/>
  <c r="CC188" i="1"/>
  <c r="BC240" i="1"/>
  <c r="BB242" i="1"/>
  <c r="CB242" i="1"/>
  <c r="BB243" i="1"/>
  <c r="BB245" i="1"/>
  <c r="BB246" i="1"/>
  <c r="BB247" i="1"/>
  <c r="BB248" i="1"/>
  <c r="BB249" i="1"/>
  <c r="BB251" i="1"/>
  <c r="CB252" i="1"/>
  <c r="CB255" i="1"/>
  <c r="BB256" i="1"/>
  <c r="CB256" i="1"/>
  <c r="BB257" i="1"/>
  <c r="CB258" i="1"/>
  <c r="BB259" i="1"/>
  <c r="CB260" i="1"/>
  <c r="CB261" i="1"/>
  <c r="CB262" i="1"/>
  <c r="BB264" i="1"/>
  <c r="BO240" i="1"/>
  <c r="P265" i="1"/>
  <c r="BG265" i="1"/>
  <c r="CY265" i="1"/>
  <c r="BB269" i="1"/>
  <c r="CB269" i="1"/>
  <c r="BB270" i="1"/>
  <c r="CX270" i="1"/>
  <c r="BB272" i="1"/>
  <c r="CB272" i="1"/>
  <c r="CX272" i="1"/>
  <c r="CB273" i="1"/>
  <c r="CX273" i="1"/>
  <c r="CB275" i="1"/>
  <c r="CX275" i="1"/>
  <c r="CB276" i="1"/>
  <c r="CX276" i="1"/>
  <c r="CX277" i="1"/>
  <c r="BB281" i="1"/>
  <c r="CB281" i="1"/>
  <c r="CX281" i="1"/>
  <c r="AE282" i="1"/>
  <c r="BB283" i="1"/>
  <c r="BO282" i="1"/>
  <c r="CX283" i="1"/>
  <c r="P284" i="1"/>
  <c r="AE284" i="1"/>
  <c r="BG284" i="1"/>
  <c r="CF284" i="1"/>
  <c r="CX285" i="1"/>
  <c r="H286" i="1"/>
  <c r="K286" i="1"/>
  <c r="M286" i="1"/>
  <c r="O286" i="1"/>
  <c r="R286" i="1"/>
  <c r="W286" i="1"/>
  <c r="Y286" i="1"/>
  <c r="AA286" i="1"/>
  <c r="AC286" i="1"/>
  <c r="AF286" i="1"/>
  <c r="AH286" i="1"/>
  <c r="AJ286" i="1"/>
  <c r="AL286" i="1"/>
  <c r="AN286" i="1"/>
  <c r="AS286" i="1"/>
  <c r="AU286" i="1"/>
  <c r="BA286" i="1"/>
  <c r="BE286" i="1"/>
  <c r="BH286" i="1"/>
  <c r="BI286" i="1"/>
  <c r="BP286" i="1"/>
  <c r="BR286" i="1"/>
  <c r="BV286" i="1"/>
  <c r="BX286" i="1"/>
  <c r="BZ286" i="1"/>
  <c r="CO286" i="1"/>
  <c r="CT286" i="1"/>
  <c r="DA286" i="1"/>
  <c r="P287" i="1"/>
  <c r="BG287" i="1"/>
  <c r="BO287" i="1"/>
  <c r="CF287" i="1"/>
  <c r="CY287" i="1"/>
  <c r="CX301" i="1"/>
  <c r="Y289" i="1"/>
  <c r="AF289" i="1"/>
  <c r="I303" i="1"/>
  <c r="U303" i="1"/>
  <c r="BC303" i="1"/>
  <c r="CC303" i="1"/>
  <c r="CL303" i="1"/>
  <c r="CB306" i="1"/>
  <c r="P308" i="1"/>
  <c r="BG308" i="1"/>
  <c r="I310" i="1"/>
  <c r="U310" i="1"/>
  <c r="BC310" i="1"/>
  <c r="CB311" i="1"/>
  <c r="I312" i="1"/>
  <c r="U312" i="1"/>
  <c r="BC312" i="1"/>
  <c r="BL312" i="1"/>
  <c r="CB313" i="1"/>
  <c r="AM289" i="1"/>
  <c r="I314" i="1"/>
  <c r="BL314" i="1"/>
  <c r="CC314" i="1"/>
  <c r="CL314" i="1"/>
  <c r="BP289" i="1"/>
  <c r="BX289" i="1"/>
  <c r="BC316" i="1"/>
  <c r="CB317" i="1"/>
  <c r="CL316" i="1"/>
  <c r="CX111" i="1"/>
  <c r="BB155" i="1"/>
  <c r="I198" i="1"/>
  <c r="CB207" i="1"/>
  <c r="CL198" i="1"/>
  <c r="CF240" i="1"/>
  <c r="CX263" i="1"/>
  <c r="G79" i="1"/>
  <c r="T79" i="1"/>
  <c r="CL127" i="1"/>
  <c r="O154" i="1"/>
  <c r="BC216" i="1"/>
  <c r="CY240" i="1"/>
  <c r="CY186" i="1"/>
  <c r="CY163" i="1"/>
  <c r="CY282" i="1"/>
  <c r="BC171" i="1"/>
  <c r="CB304" i="1"/>
  <c r="CC190" i="1"/>
  <c r="BB199" i="1"/>
  <c r="BB306" i="1"/>
  <c r="N17" i="1"/>
  <c r="AE30" i="1"/>
  <c r="Z79" i="1"/>
  <c r="BQ79" i="1"/>
  <c r="BS79" i="1"/>
  <c r="I110" i="1"/>
  <c r="U110" i="1"/>
  <c r="BO110" i="1"/>
  <c r="CY110" i="1"/>
  <c r="AF106" i="1"/>
  <c r="BE106" i="1"/>
  <c r="BX106" i="1"/>
  <c r="CE106" i="1"/>
  <c r="CO106" i="1"/>
  <c r="DA106" i="1"/>
  <c r="P116" i="1"/>
  <c r="L106" i="1"/>
  <c r="AI106" i="1"/>
  <c r="BQ106" i="1"/>
  <c r="BC116" i="1"/>
  <c r="BL116" i="1"/>
  <c r="CL116" i="1"/>
  <c r="P123" i="1"/>
  <c r="BB142" i="1"/>
  <c r="BB146" i="1"/>
  <c r="BC220" i="1"/>
  <c r="P178" i="1"/>
  <c r="CX76" i="1"/>
  <c r="CY69" i="1"/>
  <c r="I148" i="1"/>
  <c r="CB149" i="1"/>
  <c r="BB152" i="1"/>
  <c r="BO154" i="1"/>
  <c r="CB156" i="1"/>
  <c r="AJ162" i="1"/>
  <c r="CO162" i="1"/>
  <c r="BB170" i="1"/>
  <c r="AO162" i="1"/>
  <c r="CB177" i="1"/>
  <c r="CB180" i="1"/>
  <c r="CB183" i="1"/>
  <c r="BP56" i="1"/>
  <c r="BS118" i="1"/>
  <c r="BB121" i="1"/>
  <c r="BB126" i="1"/>
  <c r="CB138" i="1"/>
  <c r="CB146" i="1"/>
  <c r="CX136" i="1"/>
  <c r="CX172" i="1"/>
  <c r="I166" i="1"/>
  <c r="CY144" i="1"/>
  <c r="H190" i="1"/>
  <c r="BV139" i="1"/>
  <c r="BB145" i="1"/>
  <c r="CZ56" i="1"/>
  <c r="CE56" i="1"/>
  <c r="CB66" i="1"/>
  <c r="BB82" i="1"/>
  <c r="CB82" i="1"/>
  <c r="AG118" i="1"/>
  <c r="BM118" i="1"/>
  <c r="BB124" i="1"/>
  <c r="BL157" i="1"/>
  <c r="BV162" i="1"/>
  <c r="Y56" i="1"/>
  <c r="CX68" i="1"/>
  <c r="BG144" i="1"/>
  <c r="CF33" i="1"/>
  <c r="BT56" i="1"/>
  <c r="BX56" i="1"/>
  <c r="BZ56" i="1"/>
  <c r="BB70" i="1"/>
  <c r="CB74" i="1"/>
  <c r="CB86" i="1"/>
  <c r="CB89" i="1"/>
  <c r="BB108" i="1"/>
  <c r="CB108" i="1"/>
  <c r="CZ118" i="1"/>
  <c r="BB122" i="1"/>
  <c r="CB129" i="1"/>
  <c r="CB134" i="1"/>
  <c r="BY139" i="1"/>
  <c r="BB151" i="1"/>
  <c r="BB180" i="1"/>
  <c r="AM175" i="1"/>
  <c r="CC57" i="1"/>
  <c r="CB58" i="1"/>
  <c r="BG94" i="1"/>
  <c r="BB95" i="1"/>
  <c r="CF144" i="1"/>
  <c r="CB145" i="1"/>
  <c r="CX41" i="1"/>
  <c r="BC97" i="1"/>
  <c r="CB55" i="1"/>
  <c r="X289" i="1"/>
  <c r="BF289" i="1"/>
  <c r="BR289" i="1"/>
  <c r="BV289" i="1"/>
  <c r="BZ289" i="1"/>
  <c r="CG289" i="1"/>
  <c r="U127" i="1"/>
  <c r="BB177" i="1"/>
  <c r="I190" i="1"/>
  <c r="CE42" i="1"/>
  <c r="Z56" i="1"/>
  <c r="AK56" i="1"/>
  <c r="BJ56" i="1"/>
  <c r="CB78" i="1"/>
  <c r="BR79" i="1"/>
  <c r="AI79" i="1"/>
  <c r="AX79" i="1"/>
  <c r="AH118" i="1"/>
  <c r="BB120" i="1"/>
  <c r="AE125" i="1"/>
  <c r="CG118" i="1"/>
  <c r="M139" i="1"/>
  <c r="AL139" i="1"/>
  <c r="AM162" i="1"/>
  <c r="AT162" i="1"/>
  <c r="BD162" i="1"/>
  <c r="BQ162" i="1"/>
  <c r="AG162" i="1"/>
  <c r="BZ162" i="1"/>
  <c r="CZ162" i="1"/>
  <c r="BQ175" i="1"/>
  <c r="K175" i="1"/>
  <c r="BH175" i="1"/>
  <c r="DA175" i="1"/>
  <c r="AN289" i="1"/>
  <c r="BQ289" i="1"/>
  <c r="V106" i="1"/>
  <c r="AX106" i="1"/>
  <c r="BP106" i="1"/>
  <c r="W61" i="1"/>
  <c r="T42" i="1"/>
  <c r="CC54" i="1"/>
  <c r="CY47" i="1"/>
  <c r="N56" i="1"/>
  <c r="S56" i="1"/>
  <c r="BP61" i="1"/>
  <c r="I62" i="1"/>
  <c r="U64" i="1"/>
  <c r="CB68" i="1"/>
  <c r="I71" i="1"/>
  <c r="I75" i="1"/>
  <c r="AL79" i="1"/>
  <c r="BT79" i="1"/>
  <c r="BZ79" i="1"/>
  <c r="CM79" i="1"/>
  <c r="L79" i="1"/>
  <c r="V79" i="1"/>
  <c r="AM79" i="1"/>
  <c r="AT79" i="1"/>
  <c r="BD79" i="1"/>
  <c r="BM79" i="1"/>
  <c r="BW79" i="1"/>
  <c r="W93" i="1"/>
  <c r="AC93" i="1"/>
  <c r="CE93" i="1"/>
  <c r="CZ93" i="1"/>
  <c r="U94" i="1"/>
  <c r="BL94" i="1"/>
  <c r="CC94" i="1"/>
  <c r="AB96" i="1"/>
  <c r="BJ96" i="1"/>
  <c r="CG96" i="1"/>
  <c r="BO104" i="1"/>
  <c r="AE110" i="1"/>
  <c r="CL110" i="1"/>
  <c r="G106" i="1"/>
  <c r="J106" i="1"/>
  <c r="N106" i="1"/>
  <c r="S106" i="1"/>
  <c r="X106" i="1"/>
  <c r="AB106" i="1"/>
  <c r="AG106" i="1"/>
  <c r="AM106" i="1"/>
  <c r="AR106" i="1"/>
  <c r="AY106" i="1"/>
  <c r="BJ106" i="1"/>
  <c r="BM106" i="1"/>
  <c r="BS106" i="1"/>
  <c r="BU106" i="1"/>
  <c r="BY106" i="1"/>
  <c r="CM106" i="1"/>
  <c r="CC116" i="1"/>
  <c r="W118" i="1"/>
  <c r="AF118" i="1"/>
  <c r="AW118" i="1"/>
  <c r="BE118" i="1"/>
  <c r="BX118" i="1"/>
  <c r="AE119" i="1"/>
  <c r="CB121" i="1"/>
  <c r="CB122" i="1"/>
  <c r="CX122" i="1"/>
  <c r="CC125" i="1"/>
  <c r="BO127" i="1"/>
  <c r="CX129" i="1"/>
  <c r="P131" i="1"/>
  <c r="BG131" i="1"/>
  <c r="BO131" i="1"/>
  <c r="CF131" i="1"/>
  <c r="CM118" i="1"/>
  <c r="CL135" i="1"/>
  <c r="BB137" i="1"/>
  <c r="AK139" i="1"/>
  <c r="BF139" i="1"/>
  <c r="CJ139" i="1"/>
  <c r="CO139" i="1"/>
  <c r="CT139" i="1"/>
  <c r="CF140" i="1"/>
  <c r="K139" i="1"/>
  <c r="T139" i="1"/>
  <c r="AA139" i="1"/>
  <c r="BX139" i="1"/>
  <c r="CZ139" i="1"/>
  <c r="U144" i="1"/>
  <c r="BB150" i="1"/>
  <c r="CB151" i="1"/>
  <c r="BL154" i="1"/>
  <c r="CX158" i="1"/>
  <c r="CX159" i="1"/>
  <c r="BJ162" i="1"/>
  <c r="BB164" i="1"/>
  <c r="CL163" i="1"/>
  <c r="CQ162" i="1"/>
  <c r="P165" i="1"/>
  <c r="BG165" i="1"/>
  <c r="BB167" i="1"/>
  <c r="CJ162" i="1"/>
  <c r="P168" i="1"/>
  <c r="BG168" i="1"/>
  <c r="BO168" i="1"/>
  <c r="CF168" i="1"/>
  <c r="P171" i="1"/>
  <c r="BL171" i="1"/>
  <c r="CB172" i="1"/>
  <c r="CL171" i="1"/>
  <c r="CL173" i="1"/>
  <c r="BB179" i="1"/>
  <c r="BO178" i="1"/>
  <c r="CF178" i="1"/>
  <c r="W175" i="1"/>
  <c r="AF175" i="1"/>
  <c r="BC182" i="1"/>
  <c r="BL182" i="1"/>
  <c r="P184" i="1"/>
  <c r="BG184" i="1"/>
  <c r="CF184" i="1"/>
  <c r="U186" i="1"/>
  <c r="BL186" i="1"/>
  <c r="I188" i="1"/>
  <c r="BC188" i="1"/>
  <c r="BL188" i="1"/>
  <c r="CL188" i="1"/>
  <c r="P190" i="1"/>
  <c r="BL190" i="1"/>
  <c r="U190" i="1"/>
  <c r="CF190" i="1"/>
  <c r="CY190" i="1"/>
  <c r="CB194" i="1"/>
  <c r="CB195" i="1"/>
  <c r="BB197" i="1"/>
  <c r="CF198" i="1"/>
  <c r="BB200" i="1"/>
  <c r="CX200" i="1"/>
  <c r="CB202" i="1"/>
  <c r="BB204" i="1"/>
  <c r="CX204" i="1"/>
  <c r="CB206" i="1"/>
  <c r="G209" i="1"/>
  <c r="N209" i="1"/>
  <c r="Q209" i="1"/>
  <c r="S209" i="1"/>
  <c r="Z209" i="1"/>
  <c r="AB209" i="1"/>
  <c r="AG209" i="1"/>
  <c r="AO209" i="1"/>
  <c r="AR209" i="1"/>
  <c r="AT209" i="1"/>
  <c r="AY209" i="1"/>
  <c r="BF209" i="1"/>
  <c r="BJ209" i="1"/>
  <c r="BM209" i="1"/>
  <c r="BU209" i="1"/>
  <c r="BW209" i="1"/>
  <c r="BY209" i="1"/>
  <c r="CJ209" i="1"/>
  <c r="DA209" i="1"/>
  <c r="AE210" i="1"/>
  <c r="BG210" i="1"/>
  <c r="CX211" i="1"/>
  <c r="G215" i="1"/>
  <c r="L215" i="1"/>
  <c r="Q215" i="1"/>
  <c r="V215" i="1"/>
  <c r="X215" i="1"/>
  <c r="AG215" i="1"/>
  <c r="AI215" i="1"/>
  <c r="AO215" i="1"/>
  <c r="AR215" i="1"/>
  <c r="AT215" i="1"/>
  <c r="AX215" i="1"/>
  <c r="BD215" i="1"/>
  <c r="BM215" i="1"/>
  <c r="BS215" i="1"/>
  <c r="BW215" i="1"/>
  <c r="BY215" i="1"/>
  <c r="CJ215" i="1"/>
  <c r="CO215" i="1"/>
  <c r="P216" i="1"/>
  <c r="BC198" i="1"/>
  <c r="CY178" i="1"/>
  <c r="CZ175" i="1"/>
  <c r="CB170" i="1"/>
  <c r="CD162" i="1"/>
  <c r="CC157" i="1"/>
  <c r="CY216" i="1"/>
  <c r="CX185" i="1"/>
  <c r="CY168" i="1"/>
  <c r="CY157" i="1"/>
  <c r="BC157" i="1"/>
  <c r="J147" i="1"/>
  <c r="BC144" i="1"/>
  <c r="CY182" i="1"/>
  <c r="CY165" i="1"/>
  <c r="CC144" i="1"/>
  <c r="I144" i="1"/>
  <c r="BO140" i="1"/>
  <c r="CY127" i="1"/>
  <c r="CY123" i="1"/>
  <c r="CX85" i="1"/>
  <c r="CC64" i="1"/>
  <c r="I64" i="1"/>
  <c r="CX44" i="1"/>
  <c r="CX132" i="1"/>
  <c r="CY119" i="1"/>
  <c r="CY104" i="1"/>
  <c r="CY97" i="1"/>
  <c r="BC80" i="1"/>
  <c r="BC57" i="1"/>
  <c r="K33" i="1"/>
  <c r="BA33" i="1"/>
  <c r="BG216" i="1"/>
  <c r="CF216" i="1"/>
  <c r="CY210" i="1"/>
  <c r="BB208" i="1"/>
  <c r="AE198" i="1"/>
  <c r="J175" i="1"/>
  <c r="BB203" i="1"/>
  <c r="CB201" i="1"/>
  <c r="BO198" i="1"/>
  <c r="BX175" i="1"/>
  <c r="BB189" i="1"/>
  <c r="BB185" i="1"/>
  <c r="BB181" i="1"/>
  <c r="AE178" i="1"/>
  <c r="AE168" i="1"/>
  <c r="BF162" i="1"/>
  <c r="AY162" i="1"/>
  <c r="AV162" i="1"/>
  <c r="AR162" i="1"/>
  <c r="CF165" i="1"/>
  <c r="AK162" i="1"/>
  <c r="S162" i="1"/>
  <c r="CB174" i="1"/>
  <c r="CB166" i="1"/>
  <c r="BG154" i="1"/>
  <c r="CB152" i="1"/>
  <c r="CL147" i="1"/>
  <c r="BB149" i="1"/>
  <c r="BB148" i="1"/>
  <c r="CF127" i="1"/>
  <c r="BB128" i="1"/>
  <c r="BC123" i="1"/>
  <c r="P119" i="1"/>
  <c r="BB89" i="1"/>
  <c r="CY154" i="1"/>
  <c r="CL144" i="1"/>
  <c r="CF123" i="1"/>
  <c r="CB76" i="1"/>
  <c r="CB70" i="1"/>
  <c r="BC67" i="1"/>
  <c r="BL64" i="1"/>
  <c r="AF42" i="1"/>
  <c r="DA56" i="1"/>
  <c r="AT56" i="1"/>
  <c r="V56" i="1"/>
  <c r="CB29" i="1"/>
  <c r="I220" i="1"/>
  <c r="CB217" i="1"/>
  <c r="BC190" i="1"/>
  <c r="CB189" i="1"/>
  <c r="CB185" i="1"/>
  <c r="CB181" i="1"/>
  <c r="CB169" i="1"/>
  <c r="CB167" i="1"/>
  <c r="CC163" i="1"/>
  <c r="BB159" i="1"/>
  <c r="CB158" i="1"/>
  <c r="BC154" i="1"/>
  <c r="CB150" i="1"/>
  <c r="U135" i="1"/>
  <c r="CB98" i="1"/>
  <c r="BX162" i="1"/>
  <c r="BT162" i="1"/>
  <c r="BL144" i="1"/>
  <c r="CB137" i="1"/>
  <c r="BB130" i="1"/>
  <c r="BL123" i="1"/>
  <c r="CF119" i="1"/>
  <c r="BB117" i="1"/>
  <c r="CC62" i="1"/>
  <c r="CG56" i="1"/>
  <c r="AW56" i="1"/>
  <c r="AM56" i="1"/>
  <c r="AG56" i="1"/>
  <c r="BQ42" i="1"/>
  <c r="I116" i="1"/>
  <c r="U116" i="1"/>
  <c r="BB218" i="1"/>
  <c r="BB205" i="1"/>
  <c r="P198" i="1"/>
  <c r="CB196" i="1"/>
  <c r="BF175" i="1"/>
  <c r="CB176" i="1"/>
  <c r="DA139" i="1"/>
  <c r="X175" i="1"/>
  <c r="CB120" i="1"/>
  <c r="CB117" i="1"/>
  <c r="BD106" i="1"/>
  <c r="CB95" i="1"/>
  <c r="O79" i="1"/>
  <c r="J56" i="1"/>
  <c r="CO56" i="1"/>
  <c r="X56" i="1"/>
  <c r="CE123" i="1"/>
  <c r="BP118" i="1"/>
  <c r="Z106" i="1"/>
  <c r="BF79" i="1"/>
  <c r="AR79" i="1"/>
  <c r="BC49" i="1"/>
  <c r="CF154" i="1"/>
  <c r="CO175" i="1"/>
  <c r="AO106" i="1"/>
  <c r="Q106" i="1"/>
  <c r="BG178" i="1"/>
  <c r="U147" i="1"/>
  <c r="CD139" i="1"/>
  <c r="CB128" i="1"/>
  <c r="BW106" i="1"/>
  <c r="BZ139" i="1"/>
  <c r="BC135" i="1"/>
  <c r="CC110" i="1"/>
  <c r="BV79" i="1"/>
  <c r="S79" i="1"/>
  <c r="AF61" i="1"/>
  <c r="Z175" i="1"/>
  <c r="CZ106" i="1"/>
  <c r="BA79" i="1"/>
  <c r="CB197" i="1"/>
  <c r="AB61" i="1"/>
  <c r="BC173" i="1"/>
  <c r="CB200" i="1"/>
  <c r="BB187" i="1"/>
  <c r="BW139" i="1"/>
  <c r="AK106" i="1"/>
  <c r="Z215" i="1"/>
  <c r="X209" i="1"/>
  <c r="CX196" i="1"/>
  <c r="CX192" i="1"/>
  <c r="U173" i="1"/>
  <c r="CX169" i="1"/>
  <c r="AE131" i="1"/>
  <c r="P104" i="1"/>
  <c r="CT215" i="1"/>
  <c r="BQ215" i="1"/>
  <c r="CT209" i="1"/>
  <c r="BQ209" i="1"/>
  <c r="CX193" i="1"/>
  <c r="AE184" i="1"/>
  <c r="CC171" i="1"/>
  <c r="CL94" i="1"/>
  <c r="CB46" i="1"/>
  <c r="AE37" i="1"/>
  <c r="X42" i="1"/>
  <c r="BY42" i="1"/>
  <c r="X79" i="1"/>
  <c r="V10" i="1"/>
  <c r="N79" i="1"/>
  <c r="BR42" i="1"/>
  <c r="CB81" i="1"/>
  <c r="CX126" i="1"/>
  <c r="AO96" i="1"/>
  <c r="X96" i="1"/>
  <c r="BL133" i="1"/>
  <c r="BY96" i="1"/>
  <c r="BF96" i="1"/>
  <c r="CX87" i="1"/>
  <c r="BC94" i="1"/>
  <c r="U71" i="1"/>
  <c r="I36" i="1"/>
  <c r="BC33" i="1"/>
  <c r="J42" i="1"/>
  <c r="BE61" i="1"/>
  <c r="BU42" i="1"/>
  <c r="CB36" i="1"/>
  <c r="BC17" i="1"/>
  <c r="AS61" i="1"/>
  <c r="AY79" i="1"/>
  <c r="AX42" i="1"/>
  <c r="BT42" i="1"/>
  <c r="CE79" i="1"/>
  <c r="BX79" i="1"/>
  <c r="BP79" i="1"/>
  <c r="AP61" i="1"/>
  <c r="R56" i="1"/>
  <c r="W106" i="1"/>
  <c r="CB105" i="1"/>
  <c r="CX138" i="1"/>
  <c r="AK96" i="1"/>
  <c r="S96" i="1"/>
  <c r="CM93" i="1"/>
  <c r="CX148" i="1"/>
  <c r="BO144" i="1"/>
  <c r="U133" i="1"/>
  <c r="AE97" i="1"/>
  <c r="BU96" i="1"/>
  <c r="CX90" i="1"/>
  <c r="CX86" i="1"/>
  <c r="CC104" i="1"/>
  <c r="CC13" i="1"/>
  <c r="AN42" i="1"/>
  <c r="BS42" i="1"/>
  <c r="AB79" i="1"/>
  <c r="Y61" i="1"/>
  <c r="BJ79" i="1"/>
  <c r="BY79" i="1"/>
  <c r="J79" i="1"/>
  <c r="AJ61" i="1"/>
  <c r="BT61" i="1"/>
  <c r="Q56" i="1"/>
  <c r="CX137" i="1"/>
  <c r="AG96" i="1"/>
  <c r="N96" i="1"/>
  <c r="CX146" i="1"/>
  <c r="BC131" i="1"/>
  <c r="BQ96" i="1"/>
  <c r="CX89" i="1"/>
  <c r="AK79" i="1"/>
  <c r="CL71" i="1"/>
  <c r="BJ139" i="1"/>
  <c r="CX141" i="1"/>
  <c r="CX142" i="1"/>
  <c r="CX143" i="1"/>
  <c r="Z139" i="1"/>
  <c r="CX180" i="1"/>
  <c r="CX181" i="1"/>
  <c r="CF314" i="1"/>
  <c r="AN61" i="1"/>
  <c r="CB65" i="1"/>
  <c r="AR96" i="1"/>
  <c r="AX96" i="1"/>
  <c r="CT96" i="1"/>
  <c r="BB98" i="1"/>
  <c r="U104" i="1"/>
  <c r="BC133" i="1"/>
  <c r="CC133" i="1"/>
  <c r="BB169" i="1"/>
  <c r="BO171" i="1"/>
  <c r="CB191" i="1"/>
  <c r="CX199" i="1"/>
  <c r="BB201" i="1"/>
  <c r="CX201" i="1"/>
  <c r="BB202" i="1"/>
  <c r="CX202" i="1"/>
  <c r="CX205" i="1"/>
  <c r="CX206" i="1"/>
  <c r="L209" i="1"/>
  <c r="V209" i="1"/>
  <c r="AI209" i="1"/>
  <c r="AM209" i="1"/>
  <c r="AX209" i="1"/>
  <c r="BS209" i="1"/>
  <c r="CD209" i="1"/>
  <c r="CO209" i="1"/>
  <c r="P210" i="1"/>
  <c r="CF210" i="1"/>
  <c r="J215" i="1"/>
  <c r="S215" i="1"/>
  <c r="AB215" i="1"/>
  <c r="AK215" i="1"/>
  <c r="BF215" i="1"/>
  <c r="BU215" i="1"/>
  <c r="CG215" i="1"/>
  <c r="AE216" i="1"/>
  <c r="CX218" i="1"/>
  <c r="CE286" i="1"/>
  <c r="CM286" i="1"/>
  <c r="CC287" i="1"/>
  <c r="CB288" i="1"/>
  <c r="CB301" i="1"/>
  <c r="BO303" i="1"/>
  <c r="BO308" i="1"/>
  <c r="S289" i="1"/>
  <c r="BB311" i="1"/>
  <c r="BG310" i="1"/>
  <c r="CX313" i="1"/>
  <c r="L56" i="1"/>
  <c r="BM56" i="1"/>
  <c r="CB90" i="1"/>
  <c r="S93" i="1"/>
  <c r="BQ93" i="1"/>
  <c r="BU93" i="1"/>
  <c r="DA93" i="1"/>
  <c r="BZ118" i="1"/>
  <c r="BG123" i="1"/>
  <c r="AK123" i="1"/>
  <c r="BB129" i="1"/>
  <c r="P157" i="1"/>
  <c r="BB158" i="1"/>
  <c r="BO165" i="1"/>
  <c r="CX167" i="1"/>
  <c r="BL184" i="1"/>
  <c r="CL184" i="1"/>
  <c r="CT175" i="1"/>
  <c r="AN175" i="1"/>
  <c r="BG188" i="1"/>
  <c r="P282" i="1"/>
  <c r="CF282" i="1"/>
  <c r="AR286" i="1"/>
  <c r="BQ286" i="1"/>
  <c r="CF73" i="1"/>
  <c r="BL75" i="1"/>
  <c r="BL119" i="1"/>
  <c r="CL119" i="1"/>
  <c r="BB156" i="1"/>
  <c r="CL182" i="1"/>
  <c r="U182" i="1"/>
  <c r="CB244" i="1"/>
  <c r="BB260" i="1"/>
  <c r="G43" i="1"/>
  <c r="G73" i="1"/>
  <c r="G97" i="1"/>
  <c r="BO183" i="1"/>
  <c r="BZ190" i="1"/>
  <c r="AC240" i="1"/>
  <c r="AT106" i="1"/>
  <c r="Y17" i="1"/>
  <c r="BA17" i="1"/>
  <c r="G33" i="1"/>
  <c r="G47" i="1"/>
  <c r="G59" i="1"/>
  <c r="G67" i="1"/>
  <c r="G77" i="1"/>
  <c r="G119" i="1"/>
  <c r="G123" i="1"/>
  <c r="AS154" i="1"/>
  <c r="CE154" i="1"/>
  <c r="H168" i="1"/>
  <c r="J240" i="1"/>
  <c r="BY17" i="1"/>
  <c r="H17" i="1"/>
  <c r="G31" i="1"/>
  <c r="G131" i="1"/>
  <c r="G140" i="1"/>
  <c r="X154" i="1"/>
  <c r="H157" i="1"/>
  <c r="H178" i="1"/>
  <c r="BY182" i="1"/>
  <c r="CB22" i="1"/>
  <c r="BB12" i="1"/>
  <c r="CB44" i="1"/>
  <c r="CB48" i="1"/>
  <c r="CB50" i="1"/>
  <c r="CB52" i="1"/>
  <c r="BB58" i="1"/>
  <c r="BB63" i="1"/>
  <c r="BC314" i="1"/>
  <c r="BB68" i="1"/>
  <c r="AW61" i="1"/>
  <c r="DA42" i="1"/>
  <c r="CY64" i="1"/>
  <c r="BR56" i="1"/>
  <c r="M42" i="1"/>
  <c r="AA10" i="1"/>
  <c r="BX42" i="1"/>
  <c r="O42" i="1"/>
  <c r="CG61" i="1"/>
  <c r="AK42" i="1"/>
  <c r="CE17" i="1"/>
  <c r="CB32" i="1"/>
  <c r="CX46" i="1"/>
  <c r="AT42" i="1"/>
  <c r="AL56" i="1"/>
  <c r="R42" i="1"/>
  <c r="BA42" i="1"/>
  <c r="AS56" i="1"/>
  <c r="W56" i="1"/>
  <c r="CY54" i="1"/>
  <c r="BO33" i="1"/>
  <c r="AR42" i="1"/>
  <c r="AJ42" i="1"/>
  <c r="AB42" i="1"/>
  <c r="AH56" i="1"/>
  <c r="N42" i="1"/>
  <c r="BB29" i="1"/>
  <c r="CJ56" i="1"/>
  <c r="BA56" i="1"/>
  <c r="AC56" i="1"/>
  <c r="BW42" i="1"/>
  <c r="BE42" i="1"/>
  <c r="BR61" i="1"/>
  <c r="O61" i="1"/>
  <c r="CD42" i="1"/>
  <c r="CX65" i="1"/>
  <c r="CB30" i="1"/>
  <c r="BP42" i="1"/>
  <c r="BU61" i="1"/>
  <c r="AL42" i="1"/>
  <c r="V42" i="1"/>
  <c r="BC59" i="1"/>
  <c r="CX55" i="1"/>
  <c r="BB66" i="1"/>
  <c r="CC67" i="1"/>
  <c r="BO64" i="1"/>
  <c r="AP42" i="1"/>
  <c r="AH42" i="1"/>
  <c r="Z42" i="1"/>
  <c r="CB37" i="1"/>
  <c r="L42" i="1"/>
  <c r="CL33" i="1"/>
  <c r="BB28" i="1"/>
  <c r="AW42" i="1"/>
  <c r="AA56" i="1"/>
  <c r="BM10" i="1"/>
  <c r="BA61" i="1"/>
  <c r="AC61" i="1"/>
  <c r="CB60" i="1"/>
  <c r="CT56" i="1"/>
  <c r="M56" i="1"/>
  <c r="BH42" i="1"/>
  <c r="AJ10" i="1"/>
  <c r="BB65" i="1"/>
  <c r="AX61" i="1"/>
  <c r="I163" i="1"/>
  <c r="CD10" i="1"/>
  <c r="BB32" i="1"/>
  <c r="BE10" i="1"/>
  <c r="BB30" i="1"/>
  <c r="T10" i="1"/>
  <c r="BC31" i="1"/>
  <c r="CB19" i="1"/>
  <c r="CT10" i="1"/>
  <c r="M10" i="1"/>
  <c r="AM42" i="1"/>
  <c r="CJ42" i="1"/>
  <c r="CB35" i="1"/>
  <c r="BI42" i="1"/>
  <c r="BB26" i="1"/>
  <c r="CE162" i="1"/>
  <c r="BC13" i="1"/>
  <c r="CB27" i="1"/>
  <c r="BT10" i="1"/>
  <c r="W42" i="1"/>
  <c r="CZ42" i="1"/>
  <c r="I45" i="1"/>
  <c r="I13" i="1"/>
  <c r="CO42" i="1"/>
  <c r="CT42" i="1"/>
  <c r="BS10" i="1"/>
  <c r="AG42" i="1"/>
  <c r="O17" i="1"/>
  <c r="BA147" i="1"/>
  <c r="CC182" i="1"/>
  <c r="P316" i="1"/>
  <c r="AE54" i="1"/>
  <c r="AT147" i="1"/>
  <c r="BL173" i="1"/>
  <c r="CF310" i="1"/>
  <c r="CB12" i="1"/>
  <c r="CY33" i="1"/>
  <c r="CY314" i="1"/>
  <c r="CC263" i="1"/>
  <c r="AW289" i="1"/>
  <c r="BB22" i="1"/>
  <c r="AH17" i="1"/>
  <c r="BB19" i="1"/>
  <c r="BP10" i="1"/>
  <c r="AL10" i="1"/>
  <c r="X10" i="1"/>
  <c r="BZ42" i="1"/>
  <c r="AI42" i="1"/>
  <c r="CG42" i="1"/>
  <c r="CB34" i="1"/>
  <c r="AO42" i="1"/>
  <c r="S42" i="1"/>
  <c r="BL310" i="1"/>
  <c r="I11" i="1"/>
  <c r="CB21" i="1"/>
  <c r="BI10" i="1"/>
  <c r="AE28" i="1"/>
  <c r="BB20" i="1"/>
  <c r="BB15" i="1"/>
  <c r="BX10" i="1"/>
  <c r="BD10" i="1"/>
  <c r="AF10" i="1"/>
  <c r="Q10" i="1"/>
  <c r="AA42" i="1"/>
  <c r="BD42" i="1"/>
  <c r="CM42" i="1"/>
  <c r="AC10" i="1"/>
  <c r="CB14" i="1"/>
  <c r="AE15" i="1"/>
  <c r="CF312" i="1"/>
  <c r="AE263" i="1"/>
  <c r="BB18" i="1"/>
  <c r="BG73" i="1"/>
  <c r="P140" i="1"/>
  <c r="CL57" i="1"/>
  <c r="U59" i="1"/>
  <c r="L10" i="1"/>
  <c r="CB18" i="1"/>
  <c r="P13" i="1"/>
  <c r="BV10" i="1"/>
  <c r="BU10" i="1"/>
  <c r="BJ10" i="1"/>
  <c r="CZ10" i="1"/>
  <c r="BB24" i="1"/>
  <c r="BG67" i="1"/>
  <c r="CB16" i="1"/>
  <c r="J10" i="1"/>
  <c r="AG10" i="1"/>
  <c r="CG10" i="1"/>
  <c r="CO10" i="1"/>
  <c r="BF10" i="1"/>
  <c r="AN10" i="1"/>
  <c r="BQ10" i="1"/>
  <c r="S10" i="1"/>
  <c r="CL13" i="1"/>
  <c r="BW56" i="1"/>
  <c r="CF57" i="1"/>
  <c r="AE59" i="1"/>
  <c r="AE67" i="1"/>
  <c r="BB16" i="1"/>
  <c r="DA10" i="1"/>
  <c r="BH10" i="1"/>
  <c r="CM10" i="1"/>
  <c r="BZ10" i="1"/>
  <c r="BR10" i="1"/>
  <c r="AB10" i="1"/>
  <c r="BL13" i="1"/>
  <c r="AE11" i="1"/>
  <c r="BO11" i="1"/>
  <c r="CF13" i="1"/>
  <c r="AY13" i="1"/>
  <c r="BG17" i="1"/>
  <c r="BB23" i="1"/>
  <c r="BB25" i="1"/>
  <c r="I28" i="1"/>
  <c r="AI17" i="1"/>
  <c r="U31" i="1"/>
  <c r="BL31" i="1"/>
  <c r="CL31" i="1"/>
  <c r="AE40" i="1"/>
  <c r="BO40" i="1"/>
  <c r="BC43" i="1"/>
  <c r="CC43" i="1"/>
  <c r="P45" i="1"/>
  <c r="BG45" i="1"/>
  <c r="CF45" i="1"/>
  <c r="U47" i="1"/>
  <c r="BL47" i="1"/>
  <c r="Y42" i="1"/>
  <c r="AC42" i="1"/>
  <c r="CC49" i="1"/>
  <c r="AE51" i="1"/>
  <c r="BO51" i="1"/>
  <c r="BC54" i="1"/>
  <c r="AB56" i="1"/>
  <c r="AY56" i="1"/>
  <c r="BF56" i="1"/>
  <c r="CD56" i="1"/>
  <c r="P57" i="1"/>
  <c r="BG57" i="1"/>
  <c r="P59" i="1"/>
  <c r="CX60" i="1"/>
  <c r="BC62" i="1"/>
  <c r="P67" i="1"/>
  <c r="CF67" i="1"/>
  <c r="U69" i="1"/>
  <c r="BC69" i="1"/>
  <c r="BO69" i="1"/>
  <c r="AL61" i="1"/>
  <c r="P71" i="1"/>
  <c r="CF71" i="1"/>
  <c r="U73" i="1"/>
  <c r="BL73" i="1"/>
  <c r="CL73" i="1"/>
  <c r="AE75" i="1"/>
  <c r="P77" i="1"/>
  <c r="CF77" i="1"/>
  <c r="K93" i="1"/>
  <c r="O93" i="1"/>
  <c r="T93" i="1"/>
  <c r="Y93" i="1"/>
  <c r="AH93" i="1"/>
  <c r="AL93" i="1"/>
  <c r="AP93" i="1"/>
  <c r="AW93" i="1"/>
  <c r="BA93" i="1"/>
  <c r="BH93" i="1"/>
  <c r="BR93" i="1"/>
  <c r="BV93" i="1"/>
  <c r="BZ93" i="1"/>
  <c r="BX96" i="1"/>
  <c r="L96" i="1"/>
  <c r="Q96" i="1"/>
  <c r="V96" i="1"/>
  <c r="Z96" i="1"/>
  <c r="AI96" i="1"/>
  <c r="AM96" i="1"/>
  <c r="BD96" i="1"/>
  <c r="BM96" i="1"/>
  <c r="BS96" i="1"/>
  <c r="BW96" i="1"/>
  <c r="CD96" i="1"/>
  <c r="CJ96" i="1"/>
  <c r="CO96" i="1"/>
  <c r="P97" i="1"/>
  <c r="BG97" i="1"/>
  <c r="P107" i="1"/>
  <c r="BG107" i="1"/>
  <c r="CF107" i="1"/>
  <c r="P110" i="1"/>
  <c r="BG110" i="1"/>
  <c r="CF110" i="1"/>
  <c r="AN106" i="1"/>
  <c r="BT106" i="1"/>
  <c r="CD106" i="1"/>
  <c r="CJ106" i="1"/>
  <c r="CT106" i="1"/>
  <c r="M118" i="1"/>
  <c r="R118" i="1"/>
  <c r="AA118" i="1"/>
  <c r="AN118" i="1"/>
  <c r="AS118" i="1"/>
  <c r="BI118" i="1"/>
  <c r="BT118" i="1"/>
  <c r="BG119" i="1"/>
  <c r="S118" i="1"/>
  <c r="X118" i="1"/>
  <c r="AB118" i="1"/>
  <c r="AO118" i="1"/>
  <c r="AY118" i="1"/>
  <c r="BF118" i="1"/>
  <c r="BJ118" i="1"/>
  <c r="BQ118" i="1"/>
  <c r="BU118" i="1"/>
  <c r="CB124" i="1"/>
  <c r="AJ123" i="1"/>
  <c r="AE133" i="1"/>
  <c r="BO133" i="1"/>
  <c r="CX134" i="1"/>
  <c r="CB136" i="1"/>
  <c r="CC148" i="1"/>
  <c r="CC186" i="1"/>
  <c r="H209" i="1"/>
  <c r="M209" i="1"/>
  <c r="R209" i="1"/>
  <c r="W209" i="1"/>
  <c r="AA209" i="1"/>
  <c r="AF209" i="1"/>
  <c r="AJ209" i="1"/>
  <c r="AN209" i="1"/>
  <c r="AS209" i="1"/>
  <c r="BE209" i="1"/>
  <c r="BI209" i="1"/>
  <c r="BP209" i="1"/>
  <c r="BT209" i="1"/>
  <c r="BX209" i="1"/>
  <c r="CE209" i="1"/>
  <c r="CZ209" i="1"/>
  <c r="U210" i="1"/>
  <c r="BL210" i="1"/>
  <c r="K215" i="1"/>
  <c r="O215" i="1"/>
  <c r="T215" i="1"/>
  <c r="Y215" i="1"/>
  <c r="AC215" i="1"/>
  <c r="AH215" i="1"/>
  <c r="AL215" i="1"/>
  <c r="AP215" i="1"/>
  <c r="AW215" i="1"/>
  <c r="BH215" i="1"/>
  <c r="BR215" i="1"/>
  <c r="BV215" i="1"/>
  <c r="BZ215" i="1"/>
  <c r="CM215" i="1"/>
  <c r="J286" i="1"/>
  <c r="S286" i="1"/>
  <c r="X286" i="1"/>
  <c r="AB286" i="1"/>
  <c r="AK286" i="1"/>
  <c r="AO286" i="1"/>
  <c r="AT286" i="1"/>
  <c r="AX286" i="1"/>
  <c r="BD286" i="1"/>
  <c r="BM286" i="1"/>
  <c r="BS286" i="1"/>
  <c r="AE316" i="1"/>
  <c r="BB304" i="1"/>
  <c r="BC11" i="1"/>
  <c r="CC11" i="1"/>
  <c r="CX12" i="1"/>
  <c r="U14" i="1"/>
  <c r="BA13" i="1"/>
  <c r="CX16" i="1"/>
  <c r="U24" i="1"/>
  <c r="AM17" i="1"/>
  <c r="CX28" i="1"/>
  <c r="CX29" i="1"/>
  <c r="AP17" i="1"/>
  <c r="AE31" i="1"/>
  <c r="BO31" i="1"/>
  <c r="CX32" i="1"/>
  <c r="CX34" i="1"/>
  <c r="CX35" i="1"/>
  <c r="CX36" i="1"/>
  <c r="U37" i="1"/>
  <c r="I40" i="1"/>
  <c r="BC40" i="1"/>
  <c r="BG43" i="1"/>
  <c r="U45" i="1"/>
  <c r="BL45" i="1"/>
  <c r="CL45" i="1"/>
  <c r="AE47" i="1"/>
  <c r="P49" i="1"/>
  <c r="BG49" i="1"/>
  <c r="CF49" i="1"/>
  <c r="BC51" i="1"/>
  <c r="CC51" i="1"/>
  <c r="P54" i="1"/>
  <c r="BG54" i="1"/>
  <c r="CF54" i="1"/>
  <c r="BQ56" i="1"/>
  <c r="BU56" i="1"/>
  <c r="U57" i="1"/>
  <c r="BL57" i="1"/>
  <c r="P62" i="1"/>
  <c r="BG62" i="1"/>
  <c r="CF62" i="1"/>
  <c r="S61" i="1"/>
  <c r="CX66" i="1"/>
  <c r="U67" i="1"/>
  <c r="BL67" i="1"/>
  <c r="CL67" i="1"/>
  <c r="BL71" i="1"/>
  <c r="AE73" i="1"/>
  <c r="BO73" i="1"/>
  <c r="CX74" i="1"/>
  <c r="U77" i="1"/>
  <c r="CL77" i="1"/>
  <c r="AG79" i="1"/>
  <c r="AO79" i="1"/>
  <c r="BU79" i="1"/>
  <c r="CG79" i="1"/>
  <c r="DA79" i="1"/>
  <c r="CX82" i="1"/>
  <c r="L93" i="1"/>
  <c r="Q93" i="1"/>
  <c r="V93" i="1"/>
  <c r="Z93" i="1"/>
  <c r="AI93" i="1"/>
  <c r="AM93" i="1"/>
  <c r="AR93" i="1"/>
  <c r="AX93" i="1"/>
  <c r="BD93" i="1"/>
  <c r="BM93" i="1"/>
  <c r="BS93" i="1"/>
  <c r="BW93" i="1"/>
  <c r="CD93" i="1"/>
  <c r="CJ93" i="1"/>
  <c r="CO93" i="1"/>
  <c r="P94" i="1"/>
  <c r="CF94" i="1"/>
  <c r="M96" i="1"/>
  <c r="R96" i="1"/>
  <c r="AA96" i="1"/>
  <c r="AF96" i="1"/>
  <c r="AJ96" i="1"/>
  <c r="AS96" i="1"/>
  <c r="BE96" i="1"/>
  <c r="BI96" i="1"/>
  <c r="BP96" i="1"/>
  <c r="BT96" i="1"/>
  <c r="BL104" i="1"/>
  <c r="U107" i="1"/>
  <c r="BL107" i="1"/>
  <c r="CL107" i="1"/>
  <c r="U131" i="1"/>
  <c r="BL131" i="1"/>
  <c r="I133" i="1"/>
  <c r="R139" i="1"/>
  <c r="W139" i="1"/>
  <c r="AF139" i="1"/>
  <c r="AJ139" i="1"/>
  <c r="AN139" i="1"/>
  <c r="BE139" i="1"/>
  <c r="BI139" i="1"/>
  <c r="BP139" i="1"/>
  <c r="BT139" i="1"/>
  <c r="S139" i="1"/>
  <c r="X139" i="1"/>
  <c r="AB139" i="1"/>
  <c r="AG139" i="1"/>
  <c r="AO139" i="1"/>
  <c r="AY139" i="1"/>
  <c r="BQ139" i="1"/>
  <c r="N147" i="1"/>
  <c r="AE148" i="1"/>
  <c r="BG157" i="1"/>
  <c r="CF163" i="1"/>
  <c r="P173" i="1"/>
  <c r="CF173" i="1"/>
  <c r="U308" i="1"/>
  <c r="CY310" i="1"/>
  <c r="CY312" i="1"/>
  <c r="P312" i="1"/>
  <c r="P314" i="1"/>
  <c r="H43" i="1"/>
  <c r="H47" i="1"/>
  <c r="H54" i="1"/>
  <c r="H64" i="1"/>
  <c r="H77" i="1"/>
  <c r="H97" i="1"/>
  <c r="H131" i="1"/>
  <c r="H140" i="1"/>
  <c r="G154" i="1"/>
  <c r="P155" i="1"/>
  <c r="T157" i="1"/>
  <c r="G173" i="1"/>
  <c r="G190" i="1"/>
  <c r="X240" i="1"/>
  <c r="I263" i="1"/>
  <c r="U263" i="1"/>
  <c r="Y240" i="1"/>
  <c r="BF110" i="1"/>
  <c r="AE155" i="1"/>
  <c r="BA240" i="1"/>
  <c r="AE264" i="1"/>
  <c r="CC155" i="1"/>
  <c r="BO193" i="1"/>
  <c r="CE240" i="1"/>
  <c r="CC264" i="1"/>
  <c r="BW10" i="1"/>
  <c r="CJ10" i="1"/>
  <c r="P11" i="1"/>
  <c r="BG11" i="1"/>
  <c r="CF11" i="1"/>
  <c r="BO14" i="1"/>
  <c r="CB15" i="1"/>
  <c r="CX18" i="1"/>
  <c r="CX19" i="1"/>
  <c r="CX20" i="1"/>
  <c r="CX21" i="1"/>
  <c r="CX22" i="1"/>
  <c r="CX23" i="1"/>
  <c r="CX24" i="1"/>
  <c r="CX25" i="1"/>
  <c r="CX26" i="1"/>
  <c r="CC28" i="1"/>
  <c r="CX30" i="1"/>
  <c r="CC31" i="1"/>
  <c r="CX37" i="1"/>
  <c r="P40" i="1"/>
  <c r="BG40" i="1"/>
  <c r="CF40" i="1"/>
  <c r="CF43" i="1"/>
  <c r="U43" i="1"/>
  <c r="BL43" i="1"/>
  <c r="CL43" i="1"/>
  <c r="AE45" i="1"/>
  <c r="BO45" i="1"/>
  <c r="BV42" i="1"/>
  <c r="I47" i="1"/>
  <c r="BC47" i="1"/>
  <c r="CF47" i="1"/>
  <c r="AS42" i="1"/>
  <c r="U49" i="1"/>
  <c r="BL49" i="1"/>
  <c r="CL49" i="1"/>
  <c r="P51" i="1"/>
  <c r="BG51" i="1"/>
  <c r="CF51" i="1"/>
  <c r="U54" i="1"/>
  <c r="BL54" i="1"/>
  <c r="CL54" i="1"/>
  <c r="AI56" i="1"/>
  <c r="AR56" i="1"/>
  <c r="AX56" i="1"/>
  <c r="BD56" i="1"/>
  <c r="BY56" i="1"/>
  <c r="AE57" i="1"/>
  <c r="BG59" i="1"/>
  <c r="CF59" i="1"/>
  <c r="U63" i="1"/>
  <c r="BL62" i="1"/>
  <c r="CL62" i="1"/>
  <c r="BO67" i="1"/>
  <c r="CC69" i="1"/>
  <c r="AE69" i="1"/>
  <c r="BG69" i="1"/>
  <c r="CF69" i="1"/>
  <c r="AE71" i="1"/>
  <c r="BO71" i="1"/>
  <c r="I74" i="1"/>
  <c r="P75" i="1"/>
  <c r="CF75" i="1"/>
  <c r="AE77" i="1"/>
  <c r="BO77" i="1"/>
  <c r="CY77" i="1"/>
  <c r="H93" i="1"/>
  <c r="M93" i="1"/>
  <c r="R93" i="1"/>
  <c r="AA93" i="1"/>
  <c r="AF93" i="1"/>
  <c r="AJ93" i="1"/>
  <c r="AN93" i="1"/>
  <c r="AS93" i="1"/>
  <c r="BE93" i="1"/>
  <c r="BI93" i="1"/>
  <c r="BP93" i="1"/>
  <c r="BT93" i="1"/>
  <c r="BX93" i="1"/>
  <c r="J96" i="1"/>
  <c r="AT96" i="1"/>
  <c r="AY96" i="1"/>
  <c r="DA96" i="1"/>
  <c r="BO97" i="1"/>
  <c r="CX98" i="1"/>
  <c r="AE104" i="1"/>
  <c r="AE107" i="1"/>
  <c r="BO107" i="1"/>
  <c r="CY107" i="1"/>
  <c r="AC106" i="1"/>
  <c r="BR106" i="1"/>
  <c r="BV106" i="1"/>
  <c r="BZ106" i="1"/>
  <c r="CG106" i="1"/>
  <c r="CX117" i="1"/>
  <c r="K118" i="1"/>
  <c r="T118" i="1"/>
  <c r="Y118" i="1"/>
  <c r="AC118" i="1"/>
  <c r="AL118" i="1"/>
  <c r="AP118" i="1"/>
  <c r="BA118" i="1"/>
  <c r="BH118" i="1"/>
  <c r="BR118" i="1"/>
  <c r="BV118" i="1"/>
  <c r="CX121" i="1"/>
  <c r="Q118" i="1"/>
  <c r="V118" i="1"/>
  <c r="Z118" i="1"/>
  <c r="AR118" i="1"/>
  <c r="AX118" i="1"/>
  <c r="BD118" i="1"/>
  <c r="U123" i="1"/>
  <c r="AM123" i="1"/>
  <c r="CX125" i="1"/>
  <c r="P133" i="1"/>
  <c r="AE140" i="1"/>
  <c r="O147" i="1"/>
  <c r="CL154" i="1"/>
  <c r="I168" i="1"/>
  <c r="U184" i="1"/>
  <c r="K209" i="1"/>
  <c r="O209" i="1"/>
  <c r="T209" i="1"/>
  <c r="Y209" i="1"/>
  <c r="AC209" i="1"/>
  <c r="AH209" i="1"/>
  <c r="AL209" i="1"/>
  <c r="AP209" i="1"/>
  <c r="AW209" i="1"/>
  <c r="BA209" i="1"/>
  <c r="BH209" i="1"/>
  <c r="BR209" i="1"/>
  <c r="BZ209" i="1"/>
  <c r="CM209" i="1"/>
  <c r="I210" i="1"/>
  <c r="H215" i="1"/>
  <c r="M215" i="1"/>
  <c r="R215" i="1"/>
  <c r="W215" i="1"/>
  <c r="AA215" i="1"/>
  <c r="AF215" i="1"/>
  <c r="AN215" i="1"/>
  <c r="AS215" i="1"/>
  <c r="BE215" i="1"/>
  <c r="BI215" i="1"/>
  <c r="BP215" i="1"/>
  <c r="BT215" i="1"/>
  <c r="U216" i="1"/>
  <c r="U220" i="1"/>
  <c r="CL220" i="1"/>
  <c r="G286" i="1"/>
  <c r="L286" i="1"/>
  <c r="Q286" i="1"/>
  <c r="V286" i="1"/>
  <c r="Z286" i="1"/>
  <c r="AI286" i="1"/>
  <c r="AM286" i="1"/>
  <c r="AV286" i="1"/>
  <c r="AY286" i="1"/>
  <c r="BF286" i="1"/>
  <c r="BJ286" i="1"/>
  <c r="BU286" i="1"/>
  <c r="U11" i="1"/>
  <c r="BL11" i="1"/>
  <c r="CL11" i="1"/>
  <c r="CX14" i="1"/>
  <c r="AH13" i="1"/>
  <c r="I19" i="1"/>
  <c r="I24" i="1"/>
  <c r="CC24" i="1"/>
  <c r="CX27" i="1"/>
  <c r="P31" i="1"/>
  <c r="BG31" i="1"/>
  <c r="CF31" i="1"/>
  <c r="O33" i="1"/>
  <c r="U40" i="1"/>
  <c r="CL40" i="1"/>
  <c r="AE43" i="1"/>
  <c r="BO43" i="1"/>
  <c r="BC45" i="1"/>
  <c r="P47" i="1"/>
  <c r="BG47" i="1"/>
  <c r="CL47" i="1"/>
  <c r="AE49" i="1"/>
  <c r="BO49" i="1"/>
  <c r="CX50" i="1"/>
  <c r="AU42" i="1"/>
  <c r="U51" i="1"/>
  <c r="BL51" i="1"/>
  <c r="CL51" i="1"/>
  <c r="BO54" i="1"/>
  <c r="BS56" i="1"/>
  <c r="CX58" i="1"/>
  <c r="BV56" i="1"/>
  <c r="BL59" i="1"/>
  <c r="CL59" i="1"/>
  <c r="AE63" i="1"/>
  <c r="BO62" i="1"/>
  <c r="CD61" i="1"/>
  <c r="CJ61" i="1"/>
  <c r="CF64" i="1"/>
  <c r="I67" i="1"/>
  <c r="P69" i="1"/>
  <c r="BL69" i="1"/>
  <c r="CL69" i="1"/>
  <c r="CC72" i="1"/>
  <c r="P73" i="1"/>
  <c r="U75" i="1"/>
  <c r="CL75" i="1"/>
  <c r="BC77" i="1"/>
  <c r="CC77" i="1"/>
  <c r="Q79" i="1"/>
  <c r="CD79" i="1"/>
  <c r="CJ79" i="1"/>
  <c r="CO79" i="1"/>
  <c r="CT79" i="1"/>
  <c r="CF80" i="1"/>
  <c r="J93" i="1"/>
  <c r="N93" i="1"/>
  <c r="X93" i="1"/>
  <c r="AB93" i="1"/>
  <c r="AG93" i="1"/>
  <c r="AT93" i="1"/>
  <c r="AY93" i="1"/>
  <c r="BF93" i="1"/>
  <c r="BJ93" i="1"/>
  <c r="BY93" i="1"/>
  <c r="CG93" i="1"/>
  <c r="AE94" i="1"/>
  <c r="BO94" i="1"/>
  <c r="CY94" i="1"/>
  <c r="K96" i="1"/>
  <c r="O96" i="1"/>
  <c r="T96" i="1"/>
  <c r="Y96" i="1"/>
  <c r="AC96" i="1"/>
  <c r="AH96" i="1"/>
  <c r="AL96" i="1"/>
  <c r="AP96" i="1"/>
  <c r="AW96" i="1"/>
  <c r="BA96" i="1"/>
  <c r="BH96" i="1"/>
  <c r="BR96" i="1"/>
  <c r="I107" i="1"/>
  <c r="BC107" i="1"/>
  <c r="CC107" i="1"/>
  <c r="I119" i="1"/>
  <c r="AI123" i="1"/>
  <c r="AE130" i="1"/>
  <c r="CX130" i="1"/>
  <c r="I131" i="1"/>
  <c r="CC131" i="1"/>
  <c r="L139" i="1"/>
  <c r="Y139" i="1"/>
  <c r="AC139" i="1"/>
  <c r="AH139" i="1"/>
  <c r="AP139" i="1"/>
  <c r="AW139" i="1"/>
  <c r="BH139" i="1"/>
  <c r="BR139" i="1"/>
  <c r="CM139" i="1"/>
  <c r="I140" i="1"/>
  <c r="CB141" i="1"/>
  <c r="CB142" i="1"/>
  <c r="CB143" i="1"/>
  <c r="Q139" i="1"/>
  <c r="V139" i="1"/>
  <c r="AI139" i="1"/>
  <c r="AM139" i="1"/>
  <c r="AR139" i="1"/>
  <c r="AX139" i="1"/>
  <c r="BD139" i="1"/>
  <c r="BM139" i="1"/>
  <c r="BS139" i="1"/>
  <c r="CG139" i="1"/>
  <c r="CX150" i="1"/>
  <c r="CX151" i="1"/>
  <c r="CX177" i="1"/>
  <c r="AE182" i="1"/>
  <c r="BO184" i="1"/>
  <c r="BJ215" i="1"/>
  <c r="DA215" i="1"/>
  <c r="BG220" i="1"/>
  <c r="AE220" i="1"/>
  <c r="I237" i="1"/>
  <c r="CY284" i="1"/>
  <c r="CJ308" i="1"/>
  <c r="AE312" i="1"/>
  <c r="BO312" i="1"/>
  <c r="AE314" i="1"/>
  <c r="H33" i="1"/>
  <c r="H40" i="1"/>
  <c r="H45" i="1"/>
  <c r="H62" i="1"/>
  <c r="H69" i="1"/>
  <c r="H75" i="1"/>
  <c r="H133" i="1"/>
  <c r="H147" i="1"/>
  <c r="H154" i="1"/>
  <c r="G157" i="1"/>
  <c r="G178" i="1"/>
  <c r="Z240" i="1"/>
  <c r="T240" i="1"/>
  <c r="P263" i="1"/>
  <c r="AA240" i="1"/>
  <c r="U264" i="1"/>
  <c r="BA116" i="1"/>
  <c r="AE156" i="1"/>
  <c r="AH157" i="1"/>
  <c r="AK240" i="1"/>
  <c r="CL159" i="1"/>
  <c r="BO195" i="1"/>
  <c r="CM240" i="1"/>
  <c r="CC127" i="1"/>
  <c r="CB130" i="1"/>
  <c r="CL308" i="1"/>
  <c r="CF308" i="1"/>
  <c r="BJ289" i="1"/>
  <c r="T162" i="1"/>
  <c r="AI162" i="1"/>
  <c r="AE163" i="1"/>
  <c r="U163" i="1"/>
  <c r="CL123" i="1"/>
  <c r="CB126" i="1"/>
  <c r="N118" i="1"/>
  <c r="Q42" i="1"/>
  <c r="AY42" i="1"/>
  <c r="BF42" i="1"/>
  <c r="BJ42" i="1"/>
  <c r="BM42" i="1"/>
  <c r="AK61" i="1"/>
  <c r="I69" i="1"/>
  <c r="K73" i="1"/>
  <c r="BC75" i="1"/>
  <c r="BB76" i="1"/>
  <c r="K79" i="1"/>
  <c r="M79" i="1"/>
  <c r="BG173" i="1"/>
  <c r="BB174" i="1"/>
  <c r="K56" i="1"/>
  <c r="BG104" i="1"/>
  <c r="BB105" i="1"/>
  <c r="I155" i="1"/>
  <c r="N154" i="1"/>
  <c r="N240" i="1"/>
  <c r="AB198" i="1"/>
  <c r="U208" i="1"/>
  <c r="AH240" i="1"/>
  <c r="AA79" i="1"/>
  <c r="AC79" i="1"/>
  <c r="AF79" i="1"/>
  <c r="AH79" i="1"/>
  <c r="AJ79" i="1"/>
  <c r="AN79" i="1"/>
  <c r="BE79" i="1"/>
  <c r="BH79" i="1"/>
  <c r="N157" i="1"/>
  <c r="AI157" i="1"/>
  <c r="CM157" i="1"/>
  <c r="BY190" i="1"/>
  <c r="W240" i="1"/>
  <c r="BU139" i="1"/>
  <c r="M162" i="1"/>
  <c r="Q162" i="1"/>
  <c r="V162" i="1"/>
  <c r="X162" i="1"/>
  <c r="Z162" i="1"/>
  <c r="AB162" i="1"/>
  <c r="AL162" i="1"/>
  <c r="AN162" i="1"/>
  <c r="AP162" i="1"/>
  <c r="AS162" i="1"/>
  <c r="AU162" i="1"/>
  <c r="AW162" i="1"/>
  <c r="BA162" i="1"/>
  <c r="BH162" i="1"/>
  <c r="BI162" i="1"/>
  <c r="CB243" i="1"/>
  <c r="CB245" i="1"/>
  <c r="CB249" i="1"/>
  <c r="CB251" i="1"/>
  <c r="CB257" i="1"/>
  <c r="CZ79" i="1"/>
  <c r="R240" i="1"/>
  <c r="V240" i="1"/>
  <c r="I264" i="1"/>
  <c r="O240" i="1"/>
  <c r="BP162" i="1"/>
  <c r="BR162" i="1"/>
  <c r="CM162" i="1"/>
  <c r="K162" i="1"/>
  <c r="L162" i="1"/>
  <c r="N162" i="1"/>
  <c r="R162" i="1"/>
  <c r="W162" i="1"/>
  <c r="Y162" i="1"/>
  <c r="AA162" i="1"/>
  <c r="AC162" i="1"/>
  <c r="AF162" i="1"/>
  <c r="AH162" i="1"/>
  <c r="BM162" i="1"/>
  <c r="BS162" i="1"/>
  <c r="BU162" i="1"/>
  <c r="BW162" i="1"/>
  <c r="BY162" i="1"/>
  <c r="CG162" i="1"/>
  <c r="M175" i="1"/>
  <c r="O175" i="1"/>
  <c r="R175" i="1"/>
  <c r="T175" i="1"/>
  <c r="Y175" i="1"/>
  <c r="AA175" i="1"/>
  <c r="AC175" i="1"/>
  <c r="AH175" i="1"/>
  <c r="AJ175" i="1"/>
  <c r="AP175" i="1"/>
  <c r="AS175" i="1"/>
  <c r="AW175" i="1"/>
  <c r="BA175" i="1"/>
  <c r="BE175" i="1"/>
  <c r="BI175" i="1"/>
  <c r="BP175" i="1"/>
  <c r="BR175" i="1"/>
  <c r="BT175" i="1"/>
  <c r="L175" i="1"/>
  <c r="N175" i="1"/>
  <c r="Q175" i="1"/>
  <c r="S175" i="1"/>
  <c r="V175" i="1"/>
  <c r="AG175" i="1"/>
  <c r="AI175" i="1"/>
  <c r="AK175" i="1"/>
  <c r="AO175" i="1"/>
  <c r="AR175" i="1"/>
  <c r="AT175" i="1"/>
  <c r="AX175" i="1"/>
  <c r="AY175" i="1"/>
  <c r="BD175" i="1"/>
  <c r="BJ175" i="1"/>
  <c r="BM175" i="1"/>
  <c r="BS175" i="1"/>
  <c r="BU175" i="1"/>
  <c r="BW175" i="1"/>
  <c r="CG175" i="1"/>
  <c r="CJ175" i="1"/>
  <c r="BB211" i="1"/>
  <c r="CB211" i="1"/>
  <c r="CL240" i="1"/>
  <c r="CX52" i="1"/>
  <c r="CY51" i="1"/>
  <c r="AF56" i="1"/>
  <c r="AJ56" i="1"/>
  <c r="AN56" i="1"/>
  <c r="AP56" i="1"/>
  <c r="BE56" i="1"/>
  <c r="BH56" i="1"/>
  <c r="BI56" i="1"/>
  <c r="CX63" i="1"/>
  <c r="CY62" i="1"/>
  <c r="CM56" i="1"/>
  <c r="CX72" i="1"/>
  <c r="CY71" i="1"/>
  <c r="BL17" i="1"/>
  <c r="CL17" i="1"/>
  <c r="CB20" i="1"/>
  <c r="BB27" i="1"/>
  <c r="BL33" i="1"/>
  <c r="CC33" i="1"/>
  <c r="CB41" i="1"/>
  <c r="J61" i="1"/>
  <c r="CB63" i="1"/>
  <c r="CM61" i="1"/>
  <c r="BV175" i="1"/>
  <c r="BB132" i="1"/>
  <c r="BW118" i="1"/>
  <c r="BY118" i="1"/>
  <c r="CD118" i="1"/>
  <c r="CJ118" i="1"/>
  <c r="CO118" i="1"/>
  <c r="CT118" i="1"/>
  <c r="DA118" i="1"/>
  <c r="BB138" i="1"/>
  <c r="BB141" i="1"/>
  <c r="BB143" i="1"/>
  <c r="CT162" i="1"/>
  <c r="DA162" i="1"/>
  <c r="CE175" i="1"/>
  <c r="CM175" i="1"/>
  <c r="CD175" i="1"/>
  <c r="CB254" i="1"/>
  <c r="N289" i="1"/>
  <c r="K106" i="1"/>
  <c r="M106" i="1"/>
  <c r="R106" i="1"/>
  <c r="Y106" i="1"/>
  <c r="AJ106" i="1"/>
  <c r="AS106" i="1"/>
  <c r="BI106" i="1"/>
  <c r="R79" i="1"/>
  <c r="W79" i="1"/>
  <c r="AP79" i="1"/>
  <c r="AS79" i="1"/>
  <c r="AW79" i="1"/>
  <c r="BI79" i="1"/>
  <c r="BB86" i="1"/>
  <c r="AE135" i="1"/>
  <c r="AI240" i="1"/>
  <c r="H289" i="1"/>
  <c r="K289" i="1"/>
  <c r="M289" i="1"/>
  <c r="O289" i="1"/>
  <c r="R289" i="1"/>
  <c r="T289" i="1"/>
  <c r="W289" i="1"/>
  <c r="AA289" i="1"/>
  <c r="AC289" i="1"/>
  <c r="AJ289" i="1"/>
  <c r="AL289" i="1"/>
  <c r="AP289" i="1"/>
  <c r="AS289" i="1"/>
  <c r="AU289" i="1"/>
  <c r="BE289" i="1"/>
  <c r="BS289" i="1"/>
  <c r="BW289" i="1"/>
  <c r="AG289" i="1"/>
  <c r="AR289" i="1"/>
  <c r="AY289" i="1"/>
  <c r="CO289" i="1"/>
  <c r="CZ289" i="1"/>
  <c r="AB289" i="1"/>
  <c r="CD289" i="1"/>
  <c r="BC111" i="1"/>
  <c r="BG13" i="1"/>
  <c r="P17" i="1"/>
  <c r="BB21" i="1"/>
  <c r="CB23" i="1"/>
  <c r="CB25" i="1"/>
  <c r="CB26" i="1"/>
  <c r="CY49" i="1"/>
  <c r="I80" i="1"/>
  <c r="U80" i="1"/>
  <c r="BB81" i="1"/>
  <c r="CC80" i="1"/>
  <c r="BG80" i="1"/>
  <c r="BO80" i="1"/>
  <c r="BB87" i="1"/>
  <c r="CB87" i="1"/>
  <c r="BB90" i="1"/>
  <c r="BB176" i="1"/>
  <c r="AH289" i="1"/>
  <c r="CM289" i="1"/>
  <c r="BB313" i="1"/>
  <c r="CB309" i="1"/>
  <c r="CE289" i="1"/>
  <c r="CC308" i="1"/>
  <c r="CC210" i="1"/>
  <c r="BA289" i="1"/>
  <c r="BH289" i="1"/>
  <c r="BM289" i="1"/>
  <c r="BU289" i="1"/>
  <c r="BY289" i="1"/>
  <c r="G289" i="1"/>
  <c r="L289" i="1"/>
  <c r="AI289" i="1"/>
  <c r="AK289" i="1"/>
  <c r="AO289" i="1"/>
  <c r="AT289" i="1"/>
  <c r="DA289" i="1"/>
  <c r="BI289" i="1"/>
  <c r="V289" i="1"/>
  <c r="Z289" i="1"/>
  <c r="BD289" i="1"/>
  <c r="H106" i="1"/>
  <c r="O106" i="1"/>
  <c r="T106" i="1"/>
  <c r="AA106" i="1"/>
  <c r="AH106" i="1"/>
  <c r="AL106" i="1"/>
  <c r="AP106" i="1"/>
  <c r="AW106" i="1"/>
  <c r="BH106" i="1"/>
  <c r="Z10" i="1"/>
  <c r="K42" i="1"/>
  <c r="L61" i="1"/>
  <c r="N61" i="1"/>
  <c r="R61" i="1"/>
  <c r="V61" i="1"/>
  <c r="X61" i="1"/>
  <c r="Z61" i="1"/>
  <c r="AG61" i="1"/>
  <c r="AI61" i="1"/>
  <c r="AM61" i="1"/>
  <c r="AO61" i="1"/>
  <c r="AT61" i="1"/>
  <c r="AY61" i="1"/>
  <c r="BD61" i="1"/>
  <c r="BF61" i="1"/>
  <c r="BH61" i="1"/>
  <c r="BI61" i="1"/>
  <c r="BV61" i="1"/>
  <c r="BX61" i="1"/>
  <c r="BZ61" i="1"/>
  <c r="CZ61" i="1"/>
  <c r="Q61" i="1"/>
  <c r="BJ61" i="1"/>
  <c r="BM61" i="1"/>
  <c r="BQ61" i="1"/>
  <c r="BS61" i="1"/>
  <c r="BW61" i="1"/>
  <c r="CO61" i="1"/>
  <c r="CT61" i="1"/>
  <c r="DA61" i="1"/>
  <c r="O56" i="1"/>
  <c r="AH61" i="1"/>
  <c r="M61" i="1"/>
  <c r="Y79" i="1"/>
  <c r="J118" i="1"/>
  <c r="L118" i="1"/>
  <c r="J162" i="1"/>
  <c r="BO59" i="1"/>
  <c r="BB60" i="1"/>
  <c r="BG71" i="1"/>
  <c r="BB72" i="1"/>
  <c r="I77" i="1"/>
  <c r="BG77" i="1"/>
  <c r="BB78" i="1"/>
  <c r="CX81" i="1"/>
  <c r="CY80" i="1"/>
  <c r="P80" i="1"/>
  <c r="BG133" i="1"/>
  <c r="BB134" i="1"/>
  <c r="I135" i="1"/>
  <c r="BL135" i="1"/>
  <c r="BB136" i="1"/>
  <c r="CX78" i="1"/>
  <c r="BB74" i="1"/>
  <c r="CY133" i="1"/>
  <c r="CB132" i="1"/>
  <c r="BB85" i="1"/>
  <c r="BL80" i="1"/>
  <c r="BL140" i="1"/>
  <c r="CB85" i="1"/>
  <c r="CX15" i="1"/>
  <c r="CY13" i="1"/>
  <c r="CY17" i="1"/>
  <c r="CF17" i="1"/>
  <c r="BG33" i="1"/>
  <c r="BL40" i="1"/>
  <c r="P43" i="1"/>
  <c r="T61" i="1"/>
  <c r="I123" i="1"/>
  <c r="BO123" i="1"/>
  <c r="I127" i="1"/>
  <c r="O118" i="1"/>
  <c r="BB125" i="1"/>
  <c r="AE64" i="1"/>
  <c r="T56" i="1"/>
  <c r="I57" i="1"/>
  <c r="CY57" i="1"/>
  <c r="AI225" i="1" l="1"/>
  <c r="O225" i="1"/>
  <c r="F208" i="1"/>
  <c r="CY225" i="1"/>
  <c r="CB222" i="1"/>
  <c r="BL225" i="1"/>
  <c r="F222" i="1"/>
  <c r="AC225" i="1"/>
  <c r="BO225" i="1"/>
  <c r="V225" i="1"/>
  <c r="N225" i="1"/>
  <c r="CM225" i="1"/>
  <c r="AA225" i="1"/>
  <c r="BA225" i="1"/>
  <c r="AK225" i="1"/>
  <c r="CL225" i="1"/>
  <c r="R225" i="1"/>
  <c r="J225" i="1"/>
  <c r="BB222" i="1"/>
  <c r="T225" i="1"/>
  <c r="F237" i="1"/>
  <c r="CE225" i="1"/>
  <c r="BC225" i="1"/>
  <c r="CX222" i="1"/>
  <c r="BO209" i="1"/>
  <c r="Z225" i="1"/>
  <c r="AH225" i="1"/>
  <c r="CF225" i="1"/>
  <c r="BG225" i="1"/>
  <c r="F130" i="1"/>
  <c r="O153" i="1"/>
  <c r="H99" i="1"/>
  <c r="AN153" i="1"/>
  <c r="CM153" i="1"/>
  <c r="BA153" i="1"/>
  <c r="AI153" i="1"/>
  <c r="X153" i="1"/>
  <c r="CE153" i="1"/>
  <c r="P99" i="1"/>
  <c r="F117" i="1"/>
  <c r="BG99" i="1"/>
  <c r="AH153" i="1"/>
  <c r="AS153" i="1"/>
  <c r="F125" i="1"/>
  <c r="E82" i="1"/>
  <c r="F166" i="1"/>
  <c r="F156" i="1"/>
  <c r="R153" i="1"/>
  <c r="F36" i="1"/>
  <c r="F30" i="1"/>
  <c r="F74" i="1"/>
  <c r="F14" i="1"/>
  <c r="F15" i="1"/>
  <c r="F19" i="1"/>
  <c r="Y225" i="1"/>
  <c r="X225" i="1"/>
  <c r="W225" i="1"/>
  <c r="BB290" i="1"/>
  <c r="F309" i="1"/>
  <c r="E309" i="1" s="1"/>
  <c r="CB290" i="1"/>
  <c r="BB305" i="1"/>
  <c r="CX305" i="1"/>
  <c r="AE290" i="1"/>
  <c r="CB305" i="1"/>
  <c r="CX290" i="1"/>
  <c r="F305" i="1"/>
  <c r="F24" i="1"/>
  <c r="F83" i="1"/>
  <c r="BB83" i="1"/>
  <c r="I99" i="1"/>
  <c r="F155" i="1"/>
  <c r="F28" i="1"/>
  <c r="CB83" i="1"/>
  <c r="F264" i="1"/>
  <c r="F37" i="1"/>
  <c r="F63" i="1"/>
  <c r="F301" i="1"/>
  <c r="F148" i="1"/>
  <c r="CX83" i="1"/>
  <c r="F263" i="1"/>
  <c r="F159" i="1"/>
  <c r="CY99" i="1"/>
  <c r="G153" i="1"/>
  <c r="BC99" i="1"/>
  <c r="BO153" i="1"/>
  <c r="CF10" i="1"/>
  <c r="CL99" i="1"/>
  <c r="BL153" i="1"/>
  <c r="AE99" i="1"/>
  <c r="CF153" i="1"/>
  <c r="CY153" i="1"/>
  <c r="BO99" i="1"/>
  <c r="N153" i="1"/>
  <c r="BC153" i="1"/>
  <c r="T153" i="1"/>
  <c r="BG153" i="1"/>
  <c r="H153" i="1"/>
  <c r="CC99" i="1"/>
  <c r="U99" i="1"/>
  <c r="BL99" i="1"/>
  <c r="CF99" i="1"/>
  <c r="BC53" i="1"/>
  <c r="BO53" i="1"/>
  <c r="CL53" i="1"/>
  <c r="BG53" i="1"/>
  <c r="CQ318" i="1"/>
  <c r="CF53" i="1"/>
  <c r="AE53" i="1"/>
  <c r="U53" i="1"/>
  <c r="BL53" i="1"/>
  <c r="P53" i="1"/>
  <c r="CY53" i="1"/>
  <c r="CC53" i="1"/>
  <c r="I53" i="1"/>
  <c r="H53" i="1"/>
  <c r="G53" i="1"/>
  <c r="I308" i="1"/>
  <c r="BB112" i="1"/>
  <c r="CB100" i="1"/>
  <c r="F112" i="1"/>
  <c r="CB112" i="1"/>
  <c r="BB100" i="1"/>
  <c r="CX112" i="1"/>
  <c r="F100" i="1"/>
  <c r="CX100" i="1"/>
  <c r="AY10" i="1"/>
  <c r="CC96" i="1"/>
  <c r="CX182" i="1"/>
  <c r="AR61" i="1"/>
  <c r="W10" i="1"/>
  <c r="CX316" i="1"/>
  <c r="CB133" i="1"/>
  <c r="CB107" i="1"/>
  <c r="CX308" i="1"/>
  <c r="J289" i="1"/>
  <c r="AP10" i="1"/>
  <c r="CA249" i="1"/>
  <c r="BA10" i="1"/>
  <c r="CA70" i="1"/>
  <c r="CB45" i="1"/>
  <c r="CX186" i="1"/>
  <c r="CA111" i="1"/>
  <c r="CB64" i="1"/>
  <c r="E137" i="1"/>
  <c r="CA120" i="1"/>
  <c r="F220" i="1"/>
  <c r="CC123" i="1"/>
  <c r="CA68" i="1"/>
  <c r="AE123" i="1"/>
  <c r="F107" i="1"/>
  <c r="CA78" i="1"/>
  <c r="BC96" i="1"/>
  <c r="F131" i="1"/>
  <c r="CA255" i="1"/>
  <c r="CX104" i="1"/>
  <c r="I93" i="1"/>
  <c r="CX69" i="1"/>
  <c r="CF96" i="1"/>
  <c r="CA235" i="1"/>
  <c r="CA218" i="1"/>
  <c r="CA241" i="1"/>
  <c r="F312" i="1"/>
  <c r="H56" i="1"/>
  <c r="CE139" i="1"/>
  <c r="CE61" i="1"/>
  <c r="AK10" i="1"/>
  <c r="R10" i="1"/>
  <c r="CB220" i="1"/>
  <c r="AA61" i="1"/>
  <c r="CX314" i="1"/>
  <c r="CX45" i="1"/>
  <c r="E95" i="1"/>
  <c r="CB182" i="1"/>
  <c r="CX107" i="1"/>
  <c r="CL209" i="1"/>
  <c r="CA192" i="1"/>
  <c r="CB163" i="1"/>
  <c r="AT118" i="1"/>
  <c r="AS139" i="1"/>
  <c r="CB186" i="1"/>
  <c r="CX220" i="1"/>
  <c r="AE116" i="1"/>
  <c r="H79" i="1"/>
  <c r="F144" i="1"/>
  <c r="CB119" i="1"/>
  <c r="E277" i="1"/>
  <c r="CB49" i="1"/>
  <c r="CX310" i="1"/>
  <c r="CB314" i="1"/>
  <c r="E242" i="1"/>
  <c r="U286" i="1"/>
  <c r="AE286" i="1"/>
  <c r="E258" i="1"/>
  <c r="E254" i="1"/>
  <c r="CX303" i="1"/>
  <c r="CA262" i="1"/>
  <c r="F314" i="1"/>
  <c r="BB308" i="1"/>
  <c r="CA248" i="1"/>
  <c r="F282" i="1"/>
  <c r="E255" i="1"/>
  <c r="CB312" i="1"/>
  <c r="CA315" i="1"/>
  <c r="BB287" i="1"/>
  <c r="BO215" i="1"/>
  <c r="BC286" i="1"/>
  <c r="BB284" i="1"/>
  <c r="CA227" i="1"/>
  <c r="CX287" i="1"/>
  <c r="CX284" i="1"/>
  <c r="CC215" i="1"/>
  <c r="CA256" i="1"/>
  <c r="CA250" i="1"/>
  <c r="CA237" i="1"/>
  <c r="BB314" i="1"/>
  <c r="CA253" i="1"/>
  <c r="CB316" i="1"/>
  <c r="CA208" i="1"/>
  <c r="BO286" i="1"/>
  <c r="CB265" i="1"/>
  <c r="E270" i="1"/>
  <c r="E273" i="1"/>
  <c r="E275" i="1"/>
  <c r="E274" i="1"/>
  <c r="CB284" i="1"/>
  <c r="CA270" i="1"/>
  <c r="BB316" i="1"/>
  <c r="CA274" i="1"/>
  <c r="CA252" i="1"/>
  <c r="CA164" i="1"/>
  <c r="I175" i="1"/>
  <c r="O162" i="1"/>
  <c r="CA283" i="1"/>
  <c r="F168" i="1"/>
  <c r="CA156" i="1"/>
  <c r="E248" i="1"/>
  <c r="E276" i="1"/>
  <c r="CA246" i="1"/>
  <c r="BC215" i="1"/>
  <c r="BL215" i="1"/>
  <c r="CB282" i="1"/>
  <c r="CA221" i="1"/>
  <c r="CA258" i="1"/>
  <c r="BB184" i="1"/>
  <c r="BG209" i="1"/>
  <c r="CA174" i="1"/>
  <c r="CA277" i="1"/>
  <c r="CA166" i="1"/>
  <c r="CA207" i="1"/>
  <c r="CA247" i="1"/>
  <c r="CX173" i="1"/>
  <c r="CL215" i="1"/>
  <c r="E172" i="1"/>
  <c r="CA260" i="1"/>
  <c r="U157" i="1"/>
  <c r="CA193" i="1"/>
  <c r="E315" i="1"/>
  <c r="BB265" i="1"/>
  <c r="CA311" i="1"/>
  <c r="BG139" i="1"/>
  <c r="E257" i="1"/>
  <c r="BB183" i="1"/>
  <c r="CX154" i="1"/>
  <c r="F284" i="1"/>
  <c r="CA129" i="1"/>
  <c r="H175" i="1"/>
  <c r="BA139" i="1"/>
  <c r="E149" i="1"/>
  <c r="BB168" i="1"/>
  <c r="CX210" i="1"/>
  <c r="CA187" i="1"/>
  <c r="CX188" i="1"/>
  <c r="E256" i="1"/>
  <c r="CX240" i="1"/>
  <c r="E269" i="1"/>
  <c r="CX163" i="1"/>
  <c r="CY162" i="1"/>
  <c r="I286" i="1"/>
  <c r="CA242" i="1"/>
  <c r="P286" i="1"/>
  <c r="CA179" i="1"/>
  <c r="CA259" i="1"/>
  <c r="BL286" i="1"/>
  <c r="BB282" i="1"/>
  <c r="CA203" i="1"/>
  <c r="CA238" i="1"/>
  <c r="AM219" i="1"/>
  <c r="E306" i="1"/>
  <c r="CA202" i="1"/>
  <c r="CA281" i="1"/>
  <c r="CC93" i="1"/>
  <c r="CA285" i="1"/>
  <c r="CB135" i="1"/>
  <c r="CA58" i="1"/>
  <c r="CB54" i="1"/>
  <c r="F47" i="1"/>
  <c r="F31" i="1"/>
  <c r="E122" i="1"/>
  <c r="E262" i="1"/>
  <c r="E108" i="1"/>
  <c r="BL162" i="1"/>
  <c r="CA108" i="1"/>
  <c r="BB220" i="1"/>
  <c r="CY139" i="1"/>
  <c r="E285" i="1"/>
  <c r="E151" i="1"/>
  <c r="CB165" i="1"/>
  <c r="E235" i="1"/>
  <c r="BC209" i="1"/>
  <c r="CY215" i="1"/>
  <c r="CA204" i="1"/>
  <c r="E250" i="1"/>
  <c r="E196" i="1"/>
  <c r="BG215" i="1"/>
  <c r="BB94" i="1"/>
  <c r="CX40" i="1"/>
  <c r="CA205" i="1"/>
  <c r="CA224" i="1"/>
  <c r="I215" i="1"/>
  <c r="CA95" i="1"/>
  <c r="CA201" i="1"/>
  <c r="E145" i="1"/>
  <c r="CB303" i="1"/>
  <c r="BB171" i="1"/>
  <c r="E238" i="1"/>
  <c r="CA194" i="1"/>
  <c r="CA304" i="1"/>
  <c r="F171" i="1"/>
  <c r="CA206" i="1"/>
  <c r="CX94" i="1"/>
  <c r="N10" i="1"/>
  <c r="U139" i="1"/>
  <c r="P175" i="1"/>
  <c r="CB168" i="1"/>
  <c r="BO139" i="1"/>
  <c r="CA169" i="1"/>
  <c r="AE33" i="1"/>
  <c r="CB94" i="1"/>
  <c r="AE13" i="1"/>
  <c r="CG219" i="1"/>
  <c r="L219" i="1"/>
  <c r="AM10" i="1"/>
  <c r="AV219" i="1"/>
  <c r="S219" i="1"/>
  <c r="CA136" i="1"/>
  <c r="CX54" i="1"/>
  <c r="CA30" i="1"/>
  <c r="CE10" i="1"/>
  <c r="CB51" i="1"/>
  <c r="Y10" i="1"/>
  <c r="F188" i="1"/>
  <c r="E187" i="1"/>
  <c r="CA90" i="1"/>
  <c r="CX312" i="1"/>
  <c r="BB310" i="1"/>
  <c r="E227" i="1"/>
  <c r="CX216" i="1"/>
  <c r="AE96" i="1"/>
  <c r="CA36" i="1"/>
  <c r="BC93" i="1"/>
  <c r="F45" i="1"/>
  <c r="CL93" i="1"/>
  <c r="CX168" i="1"/>
  <c r="BB186" i="1"/>
  <c r="BC162" i="1"/>
  <c r="F104" i="1"/>
  <c r="CA128" i="1"/>
  <c r="CA176" i="1"/>
  <c r="CA196" i="1"/>
  <c r="CA137" i="1"/>
  <c r="CA98" i="1"/>
  <c r="CA150" i="1"/>
  <c r="CA167" i="1"/>
  <c r="CB178" i="1"/>
  <c r="CA189" i="1"/>
  <c r="E191" i="1"/>
  <c r="CA217" i="1"/>
  <c r="CA29" i="1"/>
  <c r="CA76" i="1"/>
  <c r="BB188" i="1"/>
  <c r="CF215" i="1"/>
  <c r="CY96" i="1"/>
  <c r="CX43" i="1"/>
  <c r="CX184" i="1"/>
  <c r="CA170" i="1"/>
  <c r="P215" i="1"/>
  <c r="E194" i="1"/>
  <c r="F182" i="1"/>
  <c r="CB171" i="1"/>
  <c r="CB67" i="1"/>
  <c r="E180" i="1"/>
  <c r="CB77" i="1"/>
  <c r="E251" i="1"/>
  <c r="CX110" i="1"/>
  <c r="BG93" i="1"/>
  <c r="CB73" i="1"/>
  <c r="CX67" i="1"/>
  <c r="CA66" i="1"/>
  <c r="E170" i="1"/>
  <c r="CX38" i="1"/>
  <c r="CA138" i="1"/>
  <c r="CA183" i="1"/>
  <c r="CX75" i="1"/>
  <c r="F310" i="1"/>
  <c r="CA313" i="1"/>
  <c r="CF286" i="1"/>
  <c r="CA276" i="1"/>
  <c r="CA272" i="1"/>
  <c r="U96" i="1"/>
  <c r="CB308" i="1"/>
  <c r="U198" i="1"/>
  <c r="BT219" i="1"/>
  <c r="CY106" i="1"/>
  <c r="BD219" i="1"/>
  <c r="AE147" i="1"/>
  <c r="BH219" i="1"/>
  <c r="AI10" i="1"/>
  <c r="F11" i="1"/>
  <c r="CB11" i="1"/>
  <c r="F59" i="1"/>
  <c r="BB57" i="1"/>
  <c r="CA50" i="1"/>
  <c r="CA48" i="1"/>
  <c r="BB38" i="1"/>
  <c r="CB104" i="1"/>
  <c r="F38" i="1"/>
  <c r="BB11" i="1"/>
  <c r="E46" i="1"/>
  <c r="H162" i="1"/>
  <c r="BO162" i="1"/>
  <c r="CL175" i="1"/>
  <c r="F67" i="1"/>
  <c r="J139" i="1"/>
  <c r="CB97" i="1"/>
  <c r="F184" i="1"/>
  <c r="CB190" i="1"/>
  <c r="CA46" i="1"/>
  <c r="BB147" i="1"/>
  <c r="E146" i="1"/>
  <c r="BB116" i="1"/>
  <c r="CB198" i="1"/>
  <c r="F163" i="1"/>
  <c r="AE209" i="1"/>
  <c r="CB310" i="1"/>
  <c r="CL162" i="1"/>
  <c r="CA177" i="1"/>
  <c r="BE219" i="1"/>
  <c r="AT219" i="1"/>
  <c r="M219" i="1"/>
  <c r="O139" i="1"/>
  <c r="P118" i="1"/>
  <c r="AM118" i="1"/>
  <c r="AE56" i="1"/>
  <c r="CA306" i="1"/>
  <c r="CA89" i="1"/>
  <c r="CC56" i="1"/>
  <c r="BB165" i="1"/>
  <c r="F110" i="1"/>
  <c r="CA261" i="1"/>
  <c r="F210" i="1"/>
  <c r="BB303" i="1"/>
  <c r="BB107" i="1"/>
  <c r="CA149" i="1"/>
  <c r="CY286" i="1"/>
  <c r="CX47" i="1"/>
  <c r="E272" i="1"/>
  <c r="CX265" i="1"/>
  <c r="CL96" i="1"/>
  <c r="E179" i="1"/>
  <c r="CA317" i="1"/>
  <c r="CA275" i="1"/>
  <c r="BG286" i="1"/>
  <c r="CA269" i="1"/>
  <c r="CA273" i="1"/>
  <c r="CA172" i="1"/>
  <c r="BB144" i="1"/>
  <c r="E281" i="1"/>
  <c r="BL96" i="1"/>
  <c r="E288" i="1"/>
  <c r="BB64" i="1"/>
  <c r="CA60" i="1"/>
  <c r="BC56" i="1"/>
  <c r="CB31" i="1"/>
  <c r="E283" i="1"/>
  <c r="BB62" i="1"/>
  <c r="F51" i="1"/>
  <c r="F49" i="1"/>
  <c r="BB45" i="1"/>
  <c r="F287" i="1"/>
  <c r="CA22" i="1"/>
  <c r="I96" i="1"/>
  <c r="CX282" i="1"/>
  <c r="G139" i="1"/>
  <c r="BY10" i="1"/>
  <c r="E246" i="1"/>
  <c r="E217" i="1"/>
  <c r="CA65" i="1"/>
  <c r="I33" i="1"/>
  <c r="CA81" i="1"/>
  <c r="F75" i="1"/>
  <c r="BB51" i="1"/>
  <c r="CB38" i="1"/>
  <c r="CA200" i="1"/>
  <c r="CA197" i="1"/>
  <c r="E128" i="1"/>
  <c r="E192" i="1"/>
  <c r="CE118" i="1"/>
  <c r="CA117" i="1"/>
  <c r="BB216" i="1"/>
  <c r="CF118" i="1"/>
  <c r="CA158" i="1"/>
  <c r="CB184" i="1"/>
  <c r="CB69" i="1"/>
  <c r="CL139" i="1"/>
  <c r="CA152" i="1"/>
  <c r="CB173" i="1"/>
  <c r="E185" i="1"/>
  <c r="CY209" i="1"/>
  <c r="K10" i="1"/>
  <c r="CX131" i="1"/>
  <c r="F94" i="1"/>
  <c r="BC139" i="1"/>
  <c r="E199" i="1"/>
  <c r="F173" i="1"/>
  <c r="E221" i="1"/>
  <c r="E177" i="1"/>
  <c r="CF139" i="1"/>
  <c r="CB125" i="1"/>
  <c r="CA122" i="1"/>
  <c r="CB110" i="1"/>
  <c r="BL93" i="1"/>
  <c r="F303" i="1"/>
  <c r="F265" i="1"/>
  <c r="CA55" i="1"/>
  <c r="CA145" i="1"/>
  <c r="CB57" i="1"/>
  <c r="CA134" i="1"/>
  <c r="CA86" i="1"/>
  <c r="BB69" i="1"/>
  <c r="CA82" i="1"/>
  <c r="F71" i="1"/>
  <c r="CX171" i="1"/>
  <c r="CA146" i="1"/>
  <c r="CA180" i="1"/>
  <c r="I147" i="1"/>
  <c r="CL286" i="1"/>
  <c r="CA199" i="1"/>
  <c r="AE17" i="1"/>
  <c r="BC118" i="1"/>
  <c r="CC162" i="1"/>
  <c r="BC175" i="1"/>
  <c r="E129" i="1"/>
  <c r="BB119" i="1"/>
  <c r="E152" i="1"/>
  <c r="U13" i="1"/>
  <c r="CB80" i="1"/>
  <c r="E218" i="1"/>
  <c r="E211" i="1"/>
  <c r="E174" i="1"/>
  <c r="E304" i="1"/>
  <c r="CB127" i="1"/>
  <c r="CB116" i="1"/>
  <c r="CA74" i="1"/>
  <c r="I165" i="1"/>
  <c r="CC42" i="1"/>
  <c r="BL175" i="1"/>
  <c r="BB178" i="1"/>
  <c r="CX157" i="1"/>
  <c r="E12" i="1"/>
  <c r="CB47" i="1"/>
  <c r="CB216" i="1"/>
  <c r="CB144" i="1"/>
  <c r="CB188" i="1"/>
  <c r="F97" i="1"/>
  <c r="I42" i="1"/>
  <c r="CA185" i="1"/>
  <c r="CX190" i="1"/>
  <c r="CY175" i="1"/>
  <c r="CF175" i="1"/>
  <c r="F216" i="1"/>
  <c r="CA105" i="1"/>
  <c r="E311" i="1"/>
  <c r="BC79" i="1"/>
  <c r="CA181" i="1"/>
  <c r="G118" i="1"/>
  <c r="E55" i="1"/>
  <c r="E197" i="1"/>
  <c r="E181" i="1"/>
  <c r="F178" i="1"/>
  <c r="E169" i="1"/>
  <c r="E50" i="1"/>
  <c r="BB127" i="1"/>
  <c r="F54" i="1"/>
  <c r="BG175" i="1"/>
  <c r="E65" i="1"/>
  <c r="CA32" i="1"/>
  <c r="E34" i="1"/>
  <c r="F190" i="1"/>
  <c r="BL289" i="1"/>
  <c r="E167" i="1"/>
  <c r="U118" i="1"/>
  <c r="CB75" i="1"/>
  <c r="E66" i="1"/>
  <c r="CA12" i="1"/>
  <c r="CA52" i="1"/>
  <c r="CB59" i="1"/>
  <c r="E22" i="1"/>
  <c r="E32" i="1"/>
  <c r="BB163" i="1"/>
  <c r="CA151" i="1"/>
  <c r="CA121" i="1"/>
  <c r="U93" i="1"/>
  <c r="CA195" i="1"/>
  <c r="CC240" i="1"/>
  <c r="CA18" i="1"/>
  <c r="CB33" i="1"/>
  <c r="G61" i="1"/>
  <c r="E48" i="1"/>
  <c r="BO190" i="1"/>
  <c r="AE157" i="1"/>
  <c r="CX178" i="1"/>
  <c r="CX165" i="1"/>
  <c r="CX198" i="1"/>
  <c r="E189" i="1"/>
  <c r="BB154" i="1"/>
  <c r="BG289" i="1"/>
  <c r="AG219" i="1"/>
  <c r="CO219" i="1"/>
  <c r="AS219" i="1"/>
  <c r="E202" i="1"/>
  <c r="BM219" i="1"/>
  <c r="CX140" i="1"/>
  <c r="AK118" i="1"/>
  <c r="AX289" i="1"/>
  <c r="BF219" i="1"/>
  <c r="BY219" i="1"/>
  <c r="U106" i="1"/>
  <c r="BB198" i="1"/>
  <c r="BB157" i="1"/>
  <c r="BB67" i="1"/>
  <c r="CX135" i="1"/>
  <c r="CA35" i="1"/>
  <c r="E158" i="1"/>
  <c r="CX144" i="1"/>
  <c r="CA244" i="1"/>
  <c r="CA288" i="1"/>
  <c r="CB287" i="1"/>
  <c r="CA191" i="1"/>
  <c r="CA301" i="1"/>
  <c r="BO17" i="1"/>
  <c r="G42" i="1"/>
  <c r="CF209" i="1"/>
  <c r="BZ175" i="1"/>
  <c r="F186" i="1"/>
  <c r="G56" i="1"/>
  <c r="CC286" i="1"/>
  <c r="BB240" i="1"/>
  <c r="BB54" i="1"/>
  <c r="BO182" i="1"/>
  <c r="AE215" i="1"/>
  <c r="P209" i="1"/>
  <c r="BB97" i="1"/>
  <c r="CA44" i="1"/>
  <c r="CB43" i="1"/>
  <c r="G10" i="1"/>
  <c r="E260" i="1"/>
  <c r="E98" i="1"/>
  <c r="U154" i="1"/>
  <c r="G96" i="1"/>
  <c r="F40" i="1"/>
  <c r="E26" i="1"/>
  <c r="E200" i="1"/>
  <c r="E52" i="1"/>
  <c r="BB47" i="1"/>
  <c r="U42" i="1"/>
  <c r="E121" i="1"/>
  <c r="G162" i="1"/>
  <c r="CC71" i="1"/>
  <c r="E35" i="1"/>
  <c r="P33" i="1"/>
  <c r="BO13" i="1"/>
  <c r="AI118" i="1"/>
  <c r="P139" i="1"/>
  <c r="I106" i="1"/>
  <c r="AX219" i="1"/>
  <c r="BI219" i="1"/>
  <c r="E261" i="1"/>
  <c r="CA37" i="1"/>
  <c r="BU219" i="1"/>
  <c r="Q219" i="1"/>
  <c r="BB31" i="1"/>
  <c r="AE42" i="1"/>
  <c r="CB28" i="1"/>
  <c r="CL42" i="1"/>
  <c r="U33" i="1"/>
  <c r="BG42" i="1"/>
  <c r="F69" i="1"/>
  <c r="BL61" i="1"/>
  <c r="E81" i="1"/>
  <c r="P61" i="1"/>
  <c r="BQ219" i="1"/>
  <c r="CY289" i="1"/>
  <c r="BB14" i="1"/>
  <c r="BC10" i="1"/>
  <c r="CF42" i="1"/>
  <c r="E29" i="1"/>
  <c r="AR219" i="1"/>
  <c r="AY219" i="1"/>
  <c r="CL79" i="1"/>
  <c r="CL289" i="1"/>
  <c r="CZ219" i="1"/>
  <c r="AH10" i="1"/>
  <c r="H219" i="1"/>
  <c r="CA19" i="1"/>
  <c r="CA27" i="1"/>
  <c r="CA211" i="1"/>
  <c r="U162" i="1"/>
  <c r="BP219" i="1"/>
  <c r="CF61" i="1"/>
  <c r="CB263" i="1"/>
  <c r="AT139" i="1"/>
  <c r="E70" i="1"/>
  <c r="BJ219" i="1"/>
  <c r="CT219" i="1"/>
  <c r="AP219" i="1"/>
  <c r="BB43" i="1"/>
  <c r="I240" i="1"/>
  <c r="CA34" i="1"/>
  <c r="P56" i="1"/>
  <c r="CX33" i="1"/>
  <c r="BC42" i="1"/>
  <c r="BO289" i="1"/>
  <c r="BA106" i="1"/>
  <c r="G175" i="1"/>
  <c r="AE240" i="1"/>
  <c r="BC61" i="1"/>
  <c r="AB219" i="1"/>
  <c r="CD219" i="1"/>
  <c r="K219" i="1"/>
  <c r="CA21" i="1"/>
  <c r="CB24" i="1"/>
  <c r="CL10" i="1"/>
  <c r="BS219" i="1"/>
  <c r="CA14" i="1"/>
  <c r="BO42" i="1"/>
  <c r="CA141" i="1"/>
  <c r="P289" i="1"/>
  <c r="AN219" i="1"/>
  <c r="CC17" i="1"/>
  <c r="I17" i="1"/>
  <c r="BL42" i="1"/>
  <c r="E20" i="1"/>
  <c r="CB140" i="1"/>
  <c r="BO61" i="1"/>
  <c r="CC175" i="1"/>
  <c r="G219" i="1"/>
  <c r="U240" i="1"/>
  <c r="U289" i="1"/>
  <c r="AB175" i="1"/>
  <c r="CB72" i="1"/>
  <c r="AW219" i="1"/>
  <c r="AF219" i="1"/>
  <c r="H139" i="1"/>
  <c r="O10" i="1"/>
  <c r="E18" i="1"/>
  <c r="BB49" i="1"/>
  <c r="BG79" i="1"/>
  <c r="BC289" i="1"/>
  <c r="AE79" i="1"/>
  <c r="I118" i="1"/>
  <c r="E243" i="1"/>
  <c r="CA16" i="1"/>
  <c r="E142" i="1"/>
  <c r="BB40" i="1"/>
  <c r="CX77" i="1"/>
  <c r="BB135" i="1"/>
  <c r="BB133" i="1"/>
  <c r="P79" i="1"/>
  <c r="BB77" i="1"/>
  <c r="I79" i="1"/>
  <c r="E204" i="1"/>
  <c r="I56" i="1"/>
  <c r="BL10" i="1"/>
  <c r="BB33" i="1"/>
  <c r="CY118" i="1"/>
  <c r="BL118" i="1"/>
  <c r="BG118" i="1"/>
  <c r="BB80" i="1"/>
  <c r="CB210" i="1"/>
  <c r="E201" i="1"/>
  <c r="CC79" i="1"/>
  <c r="E68" i="1"/>
  <c r="E259" i="1"/>
  <c r="E203" i="1"/>
  <c r="E252" i="1"/>
  <c r="CA243" i="1"/>
  <c r="E143" i="1"/>
  <c r="BB131" i="1"/>
  <c r="E27" i="1"/>
  <c r="CJ289" i="1"/>
  <c r="BG162" i="1"/>
  <c r="AU219" i="1"/>
  <c r="AL219" i="1"/>
  <c r="CX123" i="1"/>
  <c r="BZ219" i="1"/>
  <c r="BR219" i="1"/>
  <c r="CB148" i="1"/>
  <c r="CC147" i="1"/>
  <c r="AJ118" i="1"/>
  <c r="H118" i="1"/>
  <c r="BG106" i="1"/>
  <c r="BG96" i="1"/>
  <c r="CY56" i="1"/>
  <c r="F133" i="1"/>
  <c r="BL79" i="1"/>
  <c r="U79" i="1"/>
  <c r="CY79" i="1"/>
  <c r="BB59" i="1"/>
  <c r="E253" i="1"/>
  <c r="BB140" i="1"/>
  <c r="CA20" i="1"/>
  <c r="E16" i="1"/>
  <c r="CA257" i="1"/>
  <c r="K61" i="1"/>
  <c r="BB195" i="1"/>
  <c r="I157" i="1"/>
  <c r="H10" i="1"/>
  <c r="CA143" i="1"/>
  <c r="CA142" i="1"/>
  <c r="CC106" i="1"/>
  <c r="BO93" i="1"/>
  <c r="CL56" i="1"/>
  <c r="CX49" i="1"/>
  <c r="CT289" i="1"/>
  <c r="AO219" i="1"/>
  <c r="I209" i="1"/>
  <c r="BO106" i="1"/>
  <c r="CX97" i="1"/>
  <c r="CL61" i="1"/>
  <c r="U62" i="1"/>
  <c r="CC154" i="1"/>
  <c r="CB155" i="1"/>
  <c r="AE154" i="1"/>
  <c r="P154" i="1"/>
  <c r="H96" i="1"/>
  <c r="CF162" i="1"/>
  <c r="N139" i="1"/>
  <c r="BL106" i="1"/>
  <c r="P93" i="1"/>
  <c r="CX73" i="1"/>
  <c r="BL56" i="1"/>
  <c r="CX31" i="1"/>
  <c r="DA219" i="1"/>
  <c r="AE175" i="1"/>
  <c r="BL209" i="1"/>
  <c r="CX59" i="1"/>
  <c r="BG56" i="1"/>
  <c r="CX64" i="1"/>
  <c r="CF79" i="1"/>
  <c r="CX127" i="1"/>
  <c r="CA26" i="1"/>
  <c r="CA23" i="1"/>
  <c r="E206" i="1"/>
  <c r="CX17" i="1"/>
  <c r="E124" i="1"/>
  <c r="P42" i="1"/>
  <c r="CX80" i="1"/>
  <c r="BO56" i="1"/>
  <c r="CC209" i="1"/>
  <c r="E241" i="1"/>
  <c r="CA87" i="1"/>
  <c r="BO79" i="1"/>
  <c r="CA25" i="1"/>
  <c r="E249" i="1"/>
  <c r="E205" i="1"/>
  <c r="CY61" i="1"/>
  <c r="BB210" i="1"/>
  <c r="CA251" i="1"/>
  <c r="BB173" i="1"/>
  <c r="CA15" i="1"/>
  <c r="CB13" i="1"/>
  <c r="CJ219" i="1"/>
  <c r="BV219" i="1"/>
  <c r="CX133" i="1"/>
  <c r="CA124" i="1"/>
  <c r="CF106" i="1"/>
  <c r="P106" i="1"/>
  <c r="P96" i="1"/>
  <c r="F57" i="1"/>
  <c r="BB123" i="1"/>
  <c r="BO118" i="1"/>
  <c r="E150" i="1"/>
  <c r="F64" i="1"/>
  <c r="BG10" i="1"/>
  <c r="BL139" i="1"/>
  <c r="E89" i="1"/>
  <c r="E25" i="1"/>
  <c r="E247" i="1"/>
  <c r="E207" i="1"/>
  <c r="E138" i="1"/>
  <c r="CX71" i="1"/>
  <c r="CX62" i="1"/>
  <c r="BY175" i="1"/>
  <c r="CL157" i="1"/>
  <c r="CB159" i="1"/>
  <c r="H61" i="1"/>
  <c r="CX147" i="1"/>
  <c r="AE127" i="1"/>
  <c r="CY93" i="1"/>
  <c r="AE93" i="1"/>
  <c r="AE62" i="1"/>
  <c r="CX57" i="1"/>
  <c r="BX219" i="1"/>
  <c r="U215" i="1"/>
  <c r="CX116" i="1"/>
  <c r="BO96" i="1"/>
  <c r="I73" i="1"/>
  <c r="CF56" i="1"/>
  <c r="CB264" i="1"/>
  <c r="BB193" i="1"/>
  <c r="BF106" i="1"/>
  <c r="H42" i="1"/>
  <c r="BW219" i="1"/>
  <c r="P162" i="1"/>
  <c r="CL106" i="1"/>
  <c r="CF93" i="1"/>
  <c r="U56" i="1"/>
  <c r="U17" i="1"/>
  <c r="CX11" i="1"/>
  <c r="U209" i="1"/>
  <c r="E23" i="1"/>
  <c r="CX119" i="1"/>
  <c r="CA130" i="1"/>
  <c r="E21" i="1"/>
  <c r="CF289" i="1"/>
  <c r="CC289" i="1"/>
  <c r="CA309" i="1"/>
  <c r="CA245" i="1"/>
  <c r="E176" i="1"/>
  <c r="CA254" i="1"/>
  <c r="AJ219" i="1"/>
  <c r="E245" i="1"/>
  <c r="E244" i="1"/>
  <c r="E164" i="1"/>
  <c r="AE162" i="1"/>
  <c r="CL118" i="1"/>
  <c r="CA126" i="1"/>
  <c r="E126" i="1"/>
  <c r="I154" i="1"/>
  <c r="BB104" i="1"/>
  <c r="E105" i="1"/>
  <c r="BB75" i="1"/>
  <c r="E76" i="1"/>
  <c r="CY42" i="1"/>
  <c r="P240" i="1"/>
  <c r="E224" i="1"/>
  <c r="CB62" i="1"/>
  <c r="CA63" i="1"/>
  <c r="CB40" i="1"/>
  <c r="CA41" i="1"/>
  <c r="E134" i="1"/>
  <c r="E132" i="1"/>
  <c r="E87" i="1"/>
  <c r="E86" i="1"/>
  <c r="BB111" i="1"/>
  <c r="BC110" i="1"/>
  <c r="CX51" i="1"/>
  <c r="CX13" i="1"/>
  <c r="CY10" i="1"/>
  <c r="E90" i="1"/>
  <c r="E313" i="1"/>
  <c r="BB312" i="1"/>
  <c r="F316" i="1"/>
  <c r="E317" i="1"/>
  <c r="E44" i="1"/>
  <c r="F43" i="1"/>
  <c r="E41" i="1"/>
  <c r="CB131" i="1"/>
  <c r="CA132" i="1"/>
  <c r="E136" i="1"/>
  <c r="F77" i="1"/>
  <c r="E78" i="1"/>
  <c r="BB71" i="1"/>
  <c r="E72" i="1"/>
  <c r="E60" i="1"/>
  <c r="F135" i="1"/>
  <c r="CA85" i="1"/>
  <c r="BB73" i="1"/>
  <c r="E85" i="1"/>
  <c r="BG61" i="1"/>
  <c r="F80" i="1"/>
  <c r="F140" i="1"/>
  <c r="E141" i="1"/>
  <c r="E120" i="1"/>
  <c r="F119" i="1"/>
  <c r="E58" i="1"/>
  <c r="D281" i="1" l="1"/>
  <c r="D257" i="1"/>
  <c r="D276" i="1"/>
  <c r="D270" i="1"/>
  <c r="D317" i="1"/>
  <c r="D253" i="1"/>
  <c r="D262" i="1"/>
  <c r="D260" i="1"/>
  <c r="D272" i="1"/>
  <c r="D259" i="1"/>
  <c r="D251" i="1"/>
  <c r="D256" i="1"/>
  <c r="D315" i="1"/>
  <c r="D283" i="1"/>
  <c r="D258" i="1"/>
  <c r="D311" i="1"/>
  <c r="D304" i="1"/>
  <c r="D274" i="1"/>
  <c r="D261" i="1"/>
  <c r="D227" i="1"/>
  <c r="D235" i="1"/>
  <c r="D238" i="1"/>
  <c r="D243" i="1"/>
  <c r="D247" i="1"/>
  <c r="CX225" i="1"/>
  <c r="D204" i="1"/>
  <c r="D221" i="1"/>
  <c r="P225" i="1"/>
  <c r="BB225" i="1"/>
  <c r="CC225" i="1"/>
  <c r="CA222" i="1"/>
  <c r="D200" i="1"/>
  <c r="AE225" i="1"/>
  <c r="I225" i="1"/>
  <c r="D246" i="1"/>
  <c r="D164" i="1"/>
  <c r="CL153" i="1"/>
  <c r="D189" i="1"/>
  <c r="D187" i="1"/>
  <c r="D174" i="1"/>
  <c r="BB99" i="1"/>
  <c r="D169" i="1"/>
  <c r="D177" i="1"/>
  <c r="D185" i="1"/>
  <c r="D179" i="1"/>
  <c r="D172" i="1"/>
  <c r="D150" i="1"/>
  <c r="P153" i="1"/>
  <c r="D158" i="1"/>
  <c r="D197" i="1"/>
  <c r="D194" i="1"/>
  <c r="D152" i="1"/>
  <c r="D192" i="1"/>
  <c r="CC153" i="1"/>
  <c r="U225" i="1"/>
  <c r="D255" i="1"/>
  <c r="D218" i="1"/>
  <c r="D285" i="1"/>
  <c r="D176" i="1"/>
  <c r="D167" i="1"/>
  <c r="D217" i="1"/>
  <c r="D191" i="1"/>
  <c r="D250" i="1"/>
  <c r="D306" i="1"/>
  <c r="D206" i="1"/>
  <c r="D288" i="1"/>
  <c r="D170" i="1"/>
  <c r="D180" i="1"/>
  <c r="D275" i="1"/>
  <c r="D309" i="1"/>
  <c r="D244" i="1"/>
  <c r="D245" i="1"/>
  <c r="D241" i="1"/>
  <c r="D201" i="1"/>
  <c r="D202" i="1"/>
  <c r="D211" i="1"/>
  <c r="D273" i="1"/>
  <c r="D242" i="1"/>
  <c r="E222" i="1"/>
  <c r="D224" i="1"/>
  <c r="D181" i="1"/>
  <c r="D248" i="1"/>
  <c r="D313" i="1"/>
  <c r="D207" i="1"/>
  <c r="D205" i="1"/>
  <c r="D252" i="1"/>
  <c r="D199" i="1"/>
  <c r="D269" i="1"/>
  <c r="D249" i="1"/>
  <c r="D203" i="1"/>
  <c r="D151" i="1"/>
  <c r="D254" i="1"/>
  <c r="D277" i="1"/>
  <c r="D196" i="1"/>
  <c r="CA305" i="1"/>
  <c r="I289" i="1"/>
  <c r="CA290" i="1"/>
  <c r="E305" i="1"/>
  <c r="CA83" i="1"/>
  <c r="E83" i="1"/>
  <c r="I153" i="1"/>
  <c r="F308" i="1"/>
  <c r="CB99" i="1"/>
  <c r="U153" i="1"/>
  <c r="CX153" i="1"/>
  <c r="BB153" i="1"/>
  <c r="AE153" i="1"/>
  <c r="F99" i="1"/>
  <c r="CX99" i="1"/>
  <c r="E301" i="1"/>
  <c r="F290" i="1"/>
  <c r="AE289" i="1"/>
  <c r="BB53" i="1"/>
  <c r="BJ318" i="1"/>
  <c r="BQ318" i="1"/>
  <c r="BU318" i="1"/>
  <c r="BM318" i="1"/>
  <c r="AG318" i="1"/>
  <c r="BH318" i="1"/>
  <c r="BD318" i="1"/>
  <c r="BT318" i="1"/>
  <c r="AV318" i="1"/>
  <c r="CG318" i="1"/>
  <c r="E94" i="1"/>
  <c r="BW318" i="1"/>
  <c r="BX318" i="1"/>
  <c r="BV318" i="1"/>
  <c r="DA318" i="1"/>
  <c r="BR318" i="1"/>
  <c r="AL318" i="1"/>
  <c r="AF318" i="1"/>
  <c r="BS318" i="1"/>
  <c r="AO318" i="1"/>
  <c r="AU318" i="1"/>
  <c r="AW318" i="1"/>
  <c r="CD318" i="1"/>
  <c r="BP318" i="1"/>
  <c r="CZ318" i="1"/>
  <c r="Q318" i="1"/>
  <c r="BI318" i="1"/>
  <c r="CO318" i="1"/>
  <c r="BE318" i="1"/>
  <c r="CX53" i="1"/>
  <c r="S318" i="1"/>
  <c r="CB53" i="1"/>
  <c r="L318" i="1"/>
  <c r="M318" i="1"/>
  <c r="F53" i="1"/>
  <c r="AB318" i="1"/>
  <c r="CJ318" i="1"/>
  <c r="AJ318" i="1"/>
  <c r="AX318" i="1"/>
  <c r="CT318" i="1"/>
  <c r="BZ318" i="1"/>
  <c r="AS318" i="1"/>
  <c r="BF318" i="1"/>
  <c r="AN318" i="1"/>
  <c r="AT318" i="1"/>
  <c r="AR318" i="1"/>
  <c r="G318" i="1"/>
  <c r="BY318" i="1"/>
  <c r="H318" i="1"/>
  <c r="K318" i="1"/>
  <c r="AM318" i="1"/>
  <c r="AP318" i="1"/>
  <c r="AY318" i="1"/>
  <c r="CA112" i="1"/>
  <c r="E100" i="1"/>
  <c r="E112" i="1"/>
  <c r="CA100" i="1"/>
  <c r="E30" i="1"/>
  <c r="BL219" i="1"/>
  <c r="CA77" i="1"/>
  <c r="CA69" i="1"/>
  <c r="CA110" i="1"/>
  <c r="F116" i="1"/>
  <c r="F96" i="1"/>
  <c r="CC118" i="1"/>
  <c r="E36" i="1"/>
  <c r="AE106" i="1"/>
  <c r="E117" i="1"/>
  <c r="CA173" i="1"/>
  <c r="CA67" i="1"/>
  <c r="E47" i="1"/>
  <c r="CA104" i="1"/>
  <c r="F93" i="1"/>
  <c r="CA45" i="1"/>
  <c r="E45" i="1"/>
  <c r="F165" i="1"/>
  <c r="E125" i="1"/>
  <c r="CA57" i="1"/>
  <c r="E183" i="1"/>
  <c r="E314" i="1"/>
  <c r="E171" i="1"/>
  <c r="CA316" i="1"/>
  <c r="BB286" i="1"/>
  <c r="CA312" i="1"/>
  <c r="CA314" i="1"/>
  <c r="CA24" i="1"/>
  <c r="E49" i="1"/>
  <c r="E310" i="1"/>
  <c r="CB123" i="1"/>
  <c r="E220" i="1"/>
  <c r="CB96" i="1"/>
  <c r="CB93" i="1"/>
  <c r="CA94" i="1"/>
  <c r="E159" i="1"/>
  <c r="CA163" i="1"/>
  <c r="BB182" i="1"/>
  <c r="D30" i="1"/>
  <c r="CB106" i="1"/>
  <c r="E168" i="1"/>
  <c r="CA80" i="1"/>
  <c r="CA165" i="1"/>
  <c r="BG219" i="1"/>
  <c r="BO219" i="1"/>
  <c r="E284" i="1"/>
  <c r="CA303" i="1"/>
  <c r="CX286" i="1"/>
  <c r="CY219" i="1"/>
  <c r="CA282" i="1"/>
  <c r="CA220" i="1"/>
  <c r="CF219" i="1"/>
  <c r="BA219" i="1"/>
  <c r="AC219" i="1"/>
  <c r="E184" i="1"/>
  <c r="CB162" i="1"/>
  <c r="D145" i="1"/>
  <c r="E178" i="1"/>
  <c r="I139" i="1"/>
  <c r="BC219" i="1"/>
  <c r="D122" i="1"/>
  <c r="D121" i="1"/>
  <c r="E107" i="1"/>
  <c r="E216" i="1"/>
  <c r="Z219" i="1"/>
  <c r="CB215" i="1"/>
  <c r="CX209" i="1"/>
  <c r="D149" i="1"/>
  <c r="CA186" i="1"/>
  <c r="CX289" i="1"/>
  <c r="J219" i="1"/>
  <c r="CA144" i="1"/>
  <c r="F123" i="1"/>
  <c r="E210" i="1"/>
  <c r="E303" i="1"/>
  <c r="BB93" i="1"/>
  <c r="CB175" i="1"/>
  <c r="CA107" i="1"/>
  <c r="D108" i="1"/>
  <c r="CX215" i="1"/>
  <c r="CA310" i="1"/>
  <c r="F73" i="1"/>
  <c r="BB215" i="1"/>
  <c r="I162" i="1"/>
  <c r="CX93" i="1"/>
  <c r="D65" i="1"/>
  <c r="CA284" i="1"/>
  <c r="D50" i="1"/>
  <c r="CB289" i="1"/>
  <c r="E74" i="1"/>
  <c r="T219" i="1"/>
  <c r="U175" i="1"/>
  <c r="D128" i="1"/>
  <c r="D95" i="1"/>
  <c r="CA168" i="1"/>
  <c r="CA188" i="1"/>
  <c r="CA97" i="1"/>
  <c r="D137" i="1"/>
  <c r="D46" i="1"/>
  <c r="CA308" i="1"/>
  <c r="E173" i="1"/>
  <c r="CA49" i="1"/>
  <c r="AE10" i="1"/>
  <c r="AE139" i="1"/>
  <c r="CA73" i="1"/>
  <c r="CA135" i="1"/>
  <c r="F209" i="1"/>
  <c r="D146" i="1"/>
  <c r="E144" i="1"/>
  <c r="D129" i="1"/>
  <c r="E186" i="1"/>
  <c r="E265" i="1"/>
  <c r="CA116" i="1"/>
  <c r="CA171" i="1"/>
  <c r="CA216" i="1"/>
  <c r="CA64" i="1"/>
  <c r="CA198" i="1"/>
  <c r="Y219" i="1"/>
  <c r="CA265" i="1"/>
  <c r="E15" i="1"/>
  <c r="F13" i="1"/>
  <c r="E11" i="1"/>
  <c r="E38" i="1"/>
  <c r="F147" i="1"/>
  <c r="BB162" i="1"/>
  <c r="F198" i="1"/>
  <c r="E37" i="1"/>
  <c r="E19" i="1"/>
  <c r="CA28" i="1"/>
  <c r="F62" i="1"/>
  <c r="E51" i="1"/>
  <c r="CB42" i="1"/>
  <c r="E188" i="1"/>
  <c r="CX162" i="1"/>
  <c r="D48" i="1"/>
  <c r="CA119" i="1"/>
  <c r="E31" i="1"/>
  <c r="CB56" i="1"/>
  <c r="D12" i="1"/>
  <c r="D55" i="1"/>
  <c r="CA133" i="1"/>
  <c r="CA54" i="1"/>
  <c r="CA125" i="1"/>
  <c r="E282" i="1"/>
  <c r="CA59" i="1"/>
  <c r="D134" i="1"/>
  <c r="E67" i="1"/>
  <c r="CB71" i="1"/>
  <c r="CC10" i="1"/>
  <c r="E69" i="1"/>
  <c r="CA210" i="1"/>
  <c r="E14" i="1"/>
  <c r="D81" i="1"/>
  <c r="E97" i="1"/>
  <c r="D22" i="1"/>
  <c r="CA51" i="1"/>
  <c r="E64" i="1"/>
  <c r="CA31" i="1"/>
  <c r="CA178" i="1"/>
  <c r="F215" i="1"/>
  <c r="CA184" i="1"/>
  <c r="CA38" i="1"/>
  <c r="F286" i="1"/>
  <c r="E287" i="1"/>
  <c r="CA47" i="1"/>
  <c r="CA182" i="1"/>
  <c r="E166" i="1"/>
  <c r="CA75" i="1"/>
  <c r="E54" i="1"/>
  <c r="CA190" i="1"/>
  <c r="D98" i="1"/>
  <c r="D32" i="1"/>
  <c r="F17" i="1"/>
  <c r="CB17" i="1"/>
  <c r="E80" i="1"/>
  <c r="D52" i="1"/>
  <c r="CA72" i="1"/>
  <c r="CX175" i="1"/>
  <c r="BB190" i="1"/>
  <c r="D20" i="1"/>
  <c r="D66" i="1"/>
  <c r="CA140" i="1"/>
  <c r="BO10" i="1"/>
  <c r="F240" i="1"/>
  <c r="D68" i="1"/>
  <c r="E63" i="1"/>
  <c r="CA11" i="1"/>
  <c r="F33" i="1"/>
  <c r="BB17" i="1"/>
  <c r="BB118" i="1"/>
  <c r="BB13" i="1"/>
  <c r="I10" i="1"/>
  <c r="BO175" i="1"/>
  <c r="P10" i="1"/>
  <c r="CA287" i="1"/>
  <c r="CA43" i="1"/>
  <c r="CC61" i="1"/>
  <c r="BB96" i="1"/>
  <c r="CB286" i="1"/>
  <c r="AE118" i="1"/>
  <c r="E308" i="1"/>
  <c r="D35" i="1"/>
  <c r="E24" i="1"/>
  <c r="D29" i="1"/>
  <c r="D70" i="1"/>
  <c r="D25" i="1"/>
  <c r="CM219" i="1"/>
  <c r="CA263" i="1"/>
  <c r="E131" i="1"/>
  <c r="D18" i="1"/>
  <c r="E28" i="1"/>
  <c r="D132" i="1"/>
  <c r="CA33" i="1"/>
  <c r="D34" i="1"/>
  <c r="BB42" i="1"/>
  <c r="BB289" i="1"/>
  <c r="D90" i="1"/>
  <c r="BC106" i="1"/>
  <c r="D86" i="1"/>
  <c r="E148" i="1"/>
  <c r="E193" i="1"/>
  <c r="CX106" i="1"/>
  <c r="AK219" i="1"/>
  <c r="BB209" i="1"/>
  <c r="I61" i="1"/>
  <c r="D124" i="1"/>
  <c r="CB240" i="1"/>
  <c r="D16" i="1"/>
  <c r="BB139" i="1"/>
  <c r="BB56" i="1"/>
  <c r="CC139" i="1"/>
  <c r="U10" i="1"/>
  <c r="F42" i="1"/>
  <c r="CA62" i="1"/>
  <c r="D136" i="1"/>
  <c r="CX10" i="1"/>
  <c r="D87" i="1"/>
  <c r="BB79" i="1"/>
  <c r="E133" i="1"/>
  <c r="CA40" i="1"/>
  <c r="X219" i="1"/>
  <c r="E156" i="1"/>
  <c r="CA159" i="1"/>
  <c r="CB157" i="1"/>
  <c r="D138" i="1"/>
  <c r="D89" i="1"/>
  <c r="CX139" i="1"/>
  <c r="AE61" i="1"/>
  <c r="D23" i="1"/>
  <c r="E195" i="1"/>
  <c r="CB147" i="1"/>
  <c r="CA148" i="1"/>
  <c r="E57" i="1"/>
  <c r="CB79" i="1"/>
  <c r="CA131" i="1"/>
  <c r="CX118" i="1"/>
  <c r="CA264" i="1"/>
  <c r="F127" i="1"/>
  <c r="E130" i="1"/>
  <c r="CA13" i="1"/>
  <c r="E264" i="1"/>
  <c r="CX79" i="1"/>
  <c r="CE219" i="1"/>
  <c r="U61" i="1"/>
  <c r="CX96" i="1"/>
  <c r="AA219" i="1"/>
  <c r="E208" i="1"/>
  <c r="R219" i="1"/>
  <c r="D27" i="1"/>
  <c r="D143" i="1"/>
  <c r="CB209" i="1"/>
  <c r="CX61" i="1"/>
  <c r="D142" i="1"/>
  <c r="CX42" i="1"/>
  <c r="CX56" i="1"/>
  <c r="F56" i="1"/>
  <c r="D26" i="1"/>
  <c r="E263" i="1"/>
  <c r="CA155" i="1"/>
  <c r="CB154" i="1"/>
  <c r="F157" i="1"/>
  <c r="E237" i="1"/>
  <c r="D82" i="1"/>
  <c r="CA127" i="1"/>
  <c r="D21" i="1"/>
  <c r="AH219" i="1"/>
  <c r="O219" i="1"/>
  <c r="N219" i="1"/>
  <c r="CL219" i="1"/>
  <c r="AI219" i="1"/>
  <c r="W219" i="1"/>
  <c r="V219" i="1"/>
  <c r="E163" i="1"/>
  <c r="D126" i="1"/>
  <c r="E104" i="1"/>
  <c r="D105" i="1"/>
  <c r="E75" i="1"/>
  <c r="D76" i="1"/>
  <c r="E155" i="1"/>
  <c r="F154" i="1"/>
  <c r="E135" i="1"/>
  <c r="E111" i="1"/>
  <c r="BB110" i="1"/>
  <c r="F79" i="1"/>
  <c r="BB61" i="1"/>
  <c r="E312" i="1"/>
  <c r="E316" i="1"/>
  <c r="D85" i="1"/>
  <c r="D60" i="1"/>
  <c r="E59" i="1"/>
  <c r="E71" i="1"/>
  <c r="E77" i="1"/>
  <c r="D78" i="1"/>
  <c r="E40" i="1"/>
  <c r="D41" i="1"/>
  <c r="E43" i="1"/>
  <c r="D44" i="1"/>
  <c r="D141" i="1"/>
  <c r="E140" i="1"/>
  <c r="D120" i="1"/>
  <c r="E119" i="1"/>
  <c r="D58" i="1"/>
  <c r="D220" i="1" l="1"/>
  <c r="D312" i="1"/>
  <c r="D287" i="1"/>
  <c r="D305" i="1"/>
  <c r="D282" i="1"/>
  <c r="D310" i="1"/>
  <c r="D264" i="1"/>
  <c r="D301" i="1"/>
  <c r="D308" i="1"/>
  <c r="D303" i="1"/>
  <c r="D314" i="1"/>
  <c r="D316" i="1"/>
  <c r="D222" i="1"/>
  <c r="CB225" i="1"/>
  <c r="D208" i="1"/>
  <c r="D237" i="1"/>
  <c r="CA209" i="1"/>
  <c r="D155" i="1"/>
  <c r="D178" i="1"/>
  <c r="D186" i="1"/>
  <c r="D188" i="1"/>
  <c r="D171" i="1"/>
  <c r="D195" i="1"/>
  <c r="D156" i="1"/>
  <c r="D216" i="1"/>
  <c r="E93" i="1"/>
  <c r="D210" i="1"/>
  <c r="D184" i="1"/>
  <c r="D168" i="1"/>
  <c r="D193" i="1"/>
  <c r="D166" i="1"/>
  <c r="D173" i="1"/>
  <c r="D163" i="1"/>
  <c r="F225" i="1"/>
  <c r="D284" i="1"/>
  <c r="D183" i="1"/>
  <c r="D263" i="1"/>
  <c r="D159" i="1"/>
  <c r="D265" i="1"/>
  <c r="E290" i="1"/>
  <c r="D83" i="1"/>
  <c r="F289" i="1"/>
  <c r="E99" i="1"/>
  <c r="CB153" i="1"/>
  <c r="F153" i="1"/>
  <c r="CA99" i="1"/>
  <c r="W318" i="1"/>
  <c r="V318" i="1"/>
  <c r="AI318" i="1"/>
  <c r="R318" i="1"/>
  <c r="AA318" i="1"/>
  <c r="X318" i="1"/>
  <c r="CA53" i="1"/>
  <c r="T318" i="1"/>
  <c r="BA318" i="1"/>
  <c r="BG318" i="1"/>
  <c r="BL318" i="1"/>
  <c r="AH318" i="1"/>
  <c r="CE318" i="1"/>
  <c r="AK318" i="1"/>
  <c r="CM318" i="1"/>
  <c r="Y318" i="1"/>
  <c r="Z318" i="1"/>
  <c r="AC318" i="1"/>
  <c r="CF318" i="1"/>
  <c r="CY318" i="1"/>
  <c r="J318" i="1"/>
  <c r="N318" i="1"/>
  <c r="O318" i="1"/>
  <c r="E53" i="1"/>
  <c r="BC318" i="1"/>
  <c r="CL318" i="1"/>
  <c r="BO318" i="1"/>
  <c r="D112" i="1"/>
  <c r="D100" i="1"/>
  <c r="D15" i="1"/>
  <c r="D36" i="1"/>
  <c r="D117" i="1"/>
  <c r="F106" i="1"/>
  <c r="E116" i="1"/>
  <c r="E123" i="1"/>
  <c r="CB118" i="1"/>
  <c r="F162" i="1"/>
  <c r="CA17" i="1"/>
  <c r="CA93" i="1"/>
  <c r="E13" i="1"/>
  <c r="D19" i="1"/>
  <c r="F139" i="1"/>
  <c r="CX219" i="1"/>
  <c r="E165" i="1"/>
  <c r="D125" i="1"/>
  <c r="D45" i="1"/>
  <c r="D94" i="1"/>
  <c r="E73" i="1"/>
  <c r="E182" i="1"/>
  <c r="D74" i="1"/>
  <c r="CA106" i="1"/>
  <c r="E215" i="1"/>
  <c r="CA215" i="1"/>
  <c r="CC219" i="1"/>
  <c r="F175" i="1"/>
  <c r="D107" i="1"/>
  <c r="CA123" i="1"/>
  <c r="U219" i="1"/>
  <c r="AE219" i="1"/>
  <c r="CA162" i="1"/>
  <c r="D133" i="1"/>
  <c r="E209" i="1"/>
  <c r="F61" i="1"/>
  <c r="D49" i="1"/>
  <c r="E33" i="1"/>
  <c r="D144" i="1"/>
  <c r="CA96" i="1"/>
  <c r="I219" i="1"/>
  <c r="D37" i="1"/>
  <c r="CA56" i="1"/>
  <c r="CB61" i="1"/>
  <c r="D31" i="1"/>
  <c r="D14" i="1"/>
  <c r="D131" i="1"/>
  <c r="D69" i="1"/>
  <c r="CA289" i="1"/>
  <c r="D67" i="1"/>
  <c r="CA71" i="1"/>
  <c r="D97" i="1"/>
  <c r="E286" i="1"/>
  <c r="D38" i="1"/>
  <c r="D24" i="1"/>
  <c r="D63" i="1"/>
  <c r="D64" i="1"/>
  <c r="BB175" i="1"/>
  <c r="D51" i="1"/>
  <c r="CB10" i="1"/>
  <c r="CA175" i="1"/>
  <c r="BB219" i="1"/>
  <c r="E96" i="1"/>
  <c r="D54" i="1"/>
  <c r="D11" i="1"/>
  <c r="D47" i="1"/>
  <c r="D72" i="1"/>
  <c r="F10" i="1"/>
  <c r="E62" i="1"/>
  <c r="BB10" i="1"/>
  <c r="CA42" i="1"/>
  <c r="CA286" i="1"/>
  <c r="F118" i="1"/>
  <c r="CA240" i="1"/>
  <c r="D28" i="1"/>
  <c r="E17" i="1"/>
  <c r="E240" i="1"/>
  <c r="E56" i="1"/>
  <c r="CA154" i="1"/>
  <c r="D43" i="1"/>
  <c r="E42" i="1"/>
  <c r="D59" i="1"/>
  <c r="E79" i="1"/>
  <c r="BB106" i="1"/>
  <c r="CA79" i="1"/>
  <c r="D140" i="1"/>
  <c r="E289" i="1"/>
  <c r="D40" i="1"/>
  <c r="D57" i="1"/>
  <c r="D119" i="1"/>
  <c r="D77" i="1"/>
  <c r="D104" i="1"/>
  <c r="E198" i="1"/>
  <c r="D148" i="1"/>
  <c r="E147" i="1"/>
  <c r="D135" i="1"/>
  <c r="E127" i="1"/>
  <c r="D130" i="1"/>
  <c r="CA147" i="1"/>
  <c r="CA157" i="1"/>
  <c r="E190" i="1"/>
  <c r="D75" i="1"/>
  <c r="E157" i="1"/>
  <c r="CB139" i="1"/>
  <c r="D80" i="1"/>
  <c r="P219" i="1"/>
  <c r="E154" i="1"/>
  <c r="D111" i="1"/>
  <c r="E110" i="1"/>
  <c r="D215" i="1" l="1"/>
  <c r="D198" i="1"/>
  <c r="D190" i="1"/>
  <c r="D290" i="1"/>
  <c r="D286" i="1"/>
  <c r="D240" i="1"/>
  <c r="CA225" i="1"/>
  <c r="D157" i="1"/>
  <c r="D165" i="1"/>
  <c r="D209" i="1"/>
  <c r="D154" i="1"/>
  <c r="E225" i="1"/>
  <c r="D182" i="1"/>
  <c r="E153" i="1"/>
  <c r="CA153" i="1"/>
  <c r="D99" i="1"/>
  <c r="P318" i="1"/>
  <c r="U318" i="1"/>
  <c r="CX318" i="1"/>
  <c r="AE318" i="1"/>
  <c r="CC318" i="1"/>
  <c r="I318" i="1"/>
  <c r="D53" i="1"/>
  <c r="BB318" i="1"/>
  <c r="D123" i="1"/>
  <c r="D116" i="1"/>
  <c r="E162" i="1"/>
  <c r="D93" i="1"/>
  <c r="D13" i="1"/>
  <c r="CA10" i="1"/>
  <c r="CA61" i="1"/>
  <c r="CA118" i="1"/>
  <c r="D73" i="1"/>
  <c r="F219" i="1"/>
  <c r="D71" i="1"/>
  <c r="D96" i="1"/>
  <c r="D62" i="1"/>
  <c r="D33" i="1"/>
  <c r="D17" i="1"/>
  <c r="E61" i="1"/>
  <c r="E118" i="1"/>
  <c r="E10" i="1"/>
  <c r="D110" i="1"/>
  <c r="D42" i="1"/>
  <c r="D56" i="1"/>
  <c r="D79" i="1"/>
  <c r="D127" i="1"/>
  <c r="D147" i="1"/>
  <c r="E139" i="1"/>
  <c r="E106" i="1"/>
  <c r="CB219" i="1"/>
  <c r="E175" i="1"/>
  <c r="CA139" i="1"/>
  <c r="D225" i="1" l="1"/>
  <c r="D289" i="1"/>
  <c r="D219" i="1"/>
  <c r="D162" i="1"/>
  <c r="D153" i="1"/>
  <c r="D175" i="1"/>
  <c r="CB318" i="1"/>
  <c r="F318" i="1"/>
  <c r="D10" i="1"/>
  <c r="CA219" i="1"/>
  <c r="D61" i="1"/>
  <c r="D118" i="1"/>
  <c r="E219" i="1"/>
  <c r="D106" i="1"/>
  <c r="D139" i="1"/>
  <c r="CA318" i="1" l="1"/>
  <c r="D318" i="1"/>
  <c r="E318" i="1"/>
</calcChain>
</file>

<file path=xl/sharedStrings.xml><?xml version="1.0" encoding="utf-8"?>
<sst xmlns="http://schemas.openxmlformats.org/spreadsheetml/2006/main" count="1111" uniqueCount="645">
  <si>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</si>
  <si>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</si>
  <si>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</si>
  <si>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</si>
  <si>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</si>
  <si>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</si>
  <si>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</si>
  <si>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</si>
  <si>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</si>
  <si>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</si>
  <si>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</si>
  <si>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</si>
  <si>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</si>
  <si>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</si>
  <si>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</si>
  <si>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</si>
  <si>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</si>
  <si>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</si>
  <si>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</si>
  <si>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</si>
  <si>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</si>
  <si>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</si>
  <si>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</si>
  <si>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</si>
  <si>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</si>
  <si>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</si>
  <si>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</si>
  <si>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</si>
  <si>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</si>
  <si>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</si>
  <si>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</si>
  <si>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</si>
  <si>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</si>
  <si>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</si>
  <si>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</si>
  <si>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</si>
  <si>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</si>
  <si>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</si>
  <si>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</si>
  <si>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</si>
  <si>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</si>
  <si>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</si>
  <si>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</si>
  <si>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</si>
  <si>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</si>
  <si>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</si>
  <si>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</si>
  <si>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</si>
  <si>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</si>
  <si>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</si>
  <si>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</si>
  <si>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</si>
  <si>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</si>
  <si>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</si>
  <si>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</si>
  <si>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</si>
  <si>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</si>
  <si>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</si>
  <si>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</si>
  <si>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</si>
  <si>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</si>
  <si>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</si>
  <si>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</si>
  <si>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</si>
  <si>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</si>
  <si>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</si>
  <si>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</si>
  <si>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</si>
  <si>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</si>
  <si>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</si>
  <si>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</si>
  <si>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</si>
  <si>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</si>
  <si>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</si>
  <si>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</si>
  <si>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</si>
  <si>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</si>
  <si>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</si>
  <si>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</si>
  <si>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</si>
  <si>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</si>
  <si>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</si>
  <si>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</si>
  <si>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</si>
  <si>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</si>
  <si>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</si>
  <si>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</si>
  <si>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</si>
  <si>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</si>
  <si>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</si>
  <si>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</si>
  <si>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</si>
  <si>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</si>
  <si>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</si>
  <si>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</si>
  <si>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</si>
  <si>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</si>
  <si>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</si>
  <si>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</si>
  <si>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</si>
  <si>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</si>
  <si>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</si>
  <si>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</si>
  <si>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</si>
  <si>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</si>
  <si>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</si>
  <si>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</si>
  <si>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</si>
  <si>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</si>
  <si>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</si>
  <si>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</si>
  <si>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</si>
  <si>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</si>
  <si>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</si>
  <si>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</si>
  <si>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</si>
  <si>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</si>
  <si>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</si>
  <si>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</si>
  <si>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</si>
  <si>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</si>
  <si>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</si>
  <si>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</si>
  <si>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</si>
  <si>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</si>
  <si>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</si>
  <si>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</si>
  <si>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</si>
  <si>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</si>
  <si>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</si>
  <si>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</si>
  <si>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</si>
  <si>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</si>
  <si>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</si>
  <si>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</si>
  <si>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</si>
  <si>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</si>
  <si>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</si>
  <si>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</si>
  <si>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</si>
  <si>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</si>
  <si>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</si>
  <si>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</si>
  <si>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</si>
  <si>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</si>
  <si>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</si>
  <si>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</si>
  <si>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</si>
  <si>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</si>
  <si>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</si>
  <si>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</si>
  <si>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</si>
  <si>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</si>
  <si>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</si>
  <si>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</si>
  <si>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</si>
  <si>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</si>
  <si>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</si>
  <si>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</si>
  <si>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</si>
  <si>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</si>
  <si>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</si>
  <si>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</si>
  <si>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</si>
  <si>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</si>
  <si>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</si>
  <si>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</si>
  <si>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</si>
  <si>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</si>
  <si>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</si>
  <si>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</si>
  <si>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</si>
  <si>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</si>
  <si>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</si>
  <si>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</si>
  <si>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</si>
  <si>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</si>
  <si>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</si>
  <si>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</si>
  <si>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</si>
  <si>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</si>
  <si>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</si>
  <si>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</si>
  <si>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</si>
  <si>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</si>
  <si>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</si>
  <si>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</si>
  <si>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</si>
  <si>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</si>
  <si>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</si>
  <si>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</si>
  <si>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</si>
  <si>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</si>
  <si>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</si>
  <si>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</si>
  <si>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</si>
  <si>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</si>
  <si>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</si>
  <si>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</si>
  <si>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</si>
  <si>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</si>
  <si>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</si>
  <si>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</si>
  <si>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</si>
  <si>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</si>
  <si>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</si>
  <si>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</si>
  <si>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</si>
  <si>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</si>
  <si>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</si>
  <si>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</si>
  <si>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</si>
  <si>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</si>
  <si>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</si>
  <si>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</si>
  <si>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</si>
  <si>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</si>
  <si>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</si>
  <si>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</si>
  <si>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</si>
  <si>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</si>
  <si>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</si>
  <si>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</si>
  <si>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</si>
  <si>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</si>
  <si>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</si>
  <si>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</si>
  <si>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</si>
  <si>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</si>
  <si>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</si>
  <si>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</si>
  <si>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</si>
  <si>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</si>
  <si>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</si>
  <si>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</si>
  <si>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</si>
  <si>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</si>
  <si>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</si>
  <si>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</si>
  <si>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</si>
  <si>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</si>
  <si>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</si>
  <si>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</si>
  <si>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</si>
  <si>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</si>
  <si>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</si>
  <si>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</si>
  <si>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</si>
  <si>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</si>
  <si>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</si>
  <si>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</si>
  <si>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</si>
  <si>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</si>
  <si>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</si>
  <si>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</si>
  <si>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</si>
  <si>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</si>
  <si>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</si>
  <si>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</si>
  <si>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</si>
  <si>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</si>
  <si>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</si>
  <si>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</si>
  <si>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</si>
  <si>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</si>
  <si>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</si>
  <si>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</si>
  <si>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</si>
  <si>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</si>
  <si>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</si>
  <si>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</si>
  <si>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</si>
  <si>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</si>
  <si>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</si>
  <si>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</si>
  <si>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</si>
  <si>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</si>
  <si>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</si>
  <si>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</si>
  <si>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</si>
  <si>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</si>
  <si>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</si>
  <si>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</si>
  <si>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</si>
  <si>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</si>
  <si>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</si>
  <si>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</si>
  <si>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</si>
  <si>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</si>
  <si>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</si>
  <si>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</si>
  <si>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</si>
  <si>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</si>
  <si>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</si>
  <si>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</si>
  <si>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</si>
  <si>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</si>
  <si>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</si>
  <si>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</si>
  <si>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</si>
  <si>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</si>
  <si>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</si>
  <si>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</si>
  <si>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</si>
  <si>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</si>
  <si>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</si>
  <si>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</si>
  <si>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</si>
  <si>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</si>
  <si>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</si>
  <si>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</si>
  <si>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</si>
  <si>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</si>
  <si>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</si>
  <si>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</si>
  <si>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</si>
  <si>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</si>
  <si>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</si>
  <si>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</si>
  <si>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</si>
  <si>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</si>
  <si>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</si>
  <si>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</si>
  <si>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</si>
  <si>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</si>
  <si>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</si>
  <si>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</si>
  <si>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</si>
  <si>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</si>
  <si>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</si>
  <si>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</si>
  <si>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</si>
  <si>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</si>
  <si>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</si>
  <si>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</si>
  <si>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</si>
  <si>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</si>
  <si>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</si>
  <si>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</si>
  <si>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</si>
  <si>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</si>
  <si>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</si>
  <si>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</si>
  <si>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</si>
  <si>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</si>
  <si>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</si>
  <si>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</si>
  <si>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</si>
  <si>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</si>
  <si>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</si>
  <si>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</si>
  <si>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</si>
  <si>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</si>
  <si>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</si>
  <si>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</si>
  <si>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</si>
  <si>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</si>
  <si>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</si>
  <si>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</si>
  <si>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</si>
  <si>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</si>
  <si>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</si>
  <si>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</si>
  <si>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</si>
  <si>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</si>
  <si>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</si>
  <si>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</si>
  <si>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</si>
  <si>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</si>
  <si>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</si>
  <si>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</si>
  <si>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</si>
  <si>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</si>
  <si>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</si>
  <si>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</si>
  <si>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</si>
  <si>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</si>
  <si>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</si>
  <si>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</si>
  <si>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</si>
  <si>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</si>
  <si>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</si>
  <si>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</si>
  <si>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</si>
  <si>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</si>
  <si>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</si>
  <si>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</si>
  <si>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</si>
  <si>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</si>
  <si>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</si>
  <si>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</si>
  <si>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</si>
  <si>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</si>
  <si>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</si>
  <si>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</si>
  <si>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</si>
  <si>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</si>
  <si>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</si>
  <si>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</si>
  <si>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</si>
  <si>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</si>
  <si>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</si>
  <si>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</si>
  <si>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</si>
  <si>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</si>
  <si>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</si>
  <si>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</si>
  <si>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</si>
  <si>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</si>
  <si>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</si>
  <si>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</si>
  <si>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</si>
  <si>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</si>
  <si>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</si>
  <si>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</si>
  <si>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</si>
  <si>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</si>
  <si>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</si>
  <si>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</si>
  <si>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</si>
  <si>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</si>
  <si>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</si>
  <si>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</si>
  <si>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</si>
  <si>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</si>
  <si>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</si>
  <si>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</si>
  <si>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</si>
  <si>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</si>
  <si>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</si>
  <si>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</si>
  <si>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</si>
  <si>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</si>
  <si>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</si>
  <si>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</si>
  <si>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</si>
  <si>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</si>
  <si>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</si>
  <si>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</si>
  <si>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</si>
  <si>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</si>
  <si>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</si>
  <si>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</si>
  <si>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</si>
  <si>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</si>
  <si>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</si>
  <si>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</si>
  <si>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</si>
  <si>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</si>
  <si>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</si>
  <si>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</si>
  <si>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</si>
  <si>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</si>
  <si>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</si>
  <si>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</si>
  <si>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</si>
  <si>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</si>
  <si>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</si>
  <si>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</si>
  <si>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</si>
  <si>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</si>
  <si>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</si>
  <si>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</si>
  <si>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</si>
  <si>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</si>
  <si>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</si>
  <si>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</si>
  <si>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</si>
  <si>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</si>
  <si>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</si>
  <si>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</si>
  <si>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</si>
  <si>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</si>
  <si>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</si>
  <si>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</si>
  <si>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</si>
  <si>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</si>
  <si>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</si>
  <si>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</si>
  <si>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</si>
  <si>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</si>
  <si>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</si>
  <si>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</si>
  <si>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</si>
  <si>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</si>
  <si>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</si>
  <si>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</si>
  <si>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</si>
  <si>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</si>
  <si>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</si>
  <si>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</si>
  <si>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</si>
  <si>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</si>
  <si>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[240310]</t>
  </si>
  <si>
    <t>жилого фонда</t>
  </si>
  <si>
    <t>[240360]</t>
  </si>
  <si>
    <t>прочих объектов</t>
  </si>
  <si>
    <t>Приложение № 2</t>
  </si>
  <si>
    <t>Другие трансфер-ты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</si>
  <si>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</si>
  <si>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</si>
  <si>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</si>
  <si>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</si>
  <si>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</si>
  <si>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</si>
  <si>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</si>
  <si>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</si>
  <si>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</si>
  <si>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</si>
  <si>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</si>
  <si>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в жил. строительство</t>
  </si>
  <si>
    <t>в строит. админ. зданий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</si>
  <si>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</si>
  <si>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</si>
  <si>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</si>
  <si>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</si>
  <si>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</si>
  <si>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</si>
  <si>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</si>
  <si>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</si>
  <si>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</si>
  <si>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</si>
  <si>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ГП разгосударствления и приватизации</t>
  </si>
  <si>
    <t>Финансовая помощь бюджетам других уровней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</si>
  <si>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</si>
  <si>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</si>
  <si>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</si>
  <si>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</si>
  <si>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</si>
  <si>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</si>
  <si>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</si>
  <si>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</si>
  <si>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</si>
  <si>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</si>
  <si>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</si>
  <si>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</si>
  <si>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</si>
  <si>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</si>
  <si>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</si>
  <si>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</si>
  <si>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</si>
  <si>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</si>
  <si>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</si>
  <si>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</si>
  <si>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</si>
  <si>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</si>
  <si>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</si>
  <si>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</si>
  <si>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</si>
  <si>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</si>
  <si>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</si>
  <si>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</si>
  <si>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</si>
  <si>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</si>
  <si>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</si>
  <si>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</si>
  <si>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</si>
  <si>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</si>
  <si>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</si>
  <si>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</si>
  <si>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</si>
  <si>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</si>
  <si>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</si>
  <si>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</si>
  <si>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</si>
  <si>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</si>
  <si>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</si>
  <si>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</si>
  <si>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</si>
  <si>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</si>
  <si>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</si>
  <si>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</si>
  <si>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</si>
  <si>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</si>
  <si>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  (ПГТРК)</t>
  </si>
  <si>
    <t>Расходы от оказ. плат. усл.  (газета)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</si>
  <si>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</si>
  <si>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</si>
  <si>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</si>
  <si>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[240270]</t>
  </si>
  <si>
    <t>в строит. прочих объектов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</si>
  <si>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</si>
  <si>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</si>
  <si>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</si>
  <si>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Мед., протезы и продукц., исп. в мед. практике по предписанию врача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</si>
  <si>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</si>
  <si>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</si>
  <si>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ГЦП "Обеспечение жильем детей-сирот"</t>
  </si>
  <si>
    <t>ГП "Исполнение наказов избирателей"</t>
  </si>
  <si>
    <t>"О республиканском бюджете на 2024 год"</t>
  </si>
  <si>
    <t>0904</t>
  </si>
  <si>
    <t>Охрана окружающей среды</t>
  </si>
  <si>
    <t>ГС экологического контроля и охраны окр. среды ПМР (госзаказ)</t>
  </si>
  <si>
    <t>1503</t>
  </si>
  <si>
    <t>Прочие средства массовой информации</t>
  </si>
  <si>
    <t>Целевые субсидии  на капитальный ремонт  дорожных покрытий</t>
  </si>
  <si>
    <t>МЭР  (уличное освещение)</t>
  </si>
  <si>
    <t xml:space="preserve"> [130310] </t>
  </si>
  <si>
    <t>ГЦП "Переоснащение служебного автотранспорта пожарной охраны"</t>
  </si>
  <si>
    <t>Учеб.-нагляд. пособия</t>
  </si>
  <si>
    <t>Расходы на осуществление г.Тирасполем функций столицы</t>
  </si>
  <si>
    <t>Проведение выборов депутатов ВС ПМР</t>
  </si>
  <si>
    <t>Расходы республиканского бюджета на 2024 год</t>
  </si>
  <si>
    <t>1900</t>
  </si>
  <si>
    <t>1903</t>
  </si>
  <si>
    <t>ПОПОЛНЕНИЕ ГОСУДАРСТВЕННЫХ РЕЗЕРВОВ</t>
  </si>
  <si>
    <t>Фонд государственного резерва</t>
  </si>
  <si>
    <t>Создание госрезервов</t>
  </si>
  <si>
    <t xml:space="preserve"> [250000] </t>
  </si>
  <si>
    <t xml:space="preserve"> [250100] </t>
  </si>
  <si>
    <t>Мероприятия по приобретению школьного автотранспорта для организаций образования ПМР</t>
  </si>
  <si>
    <t>Бюджетное кредитование</t>
  </si>
  <si>
    <t>Предоставл-е внутр. займов</t>
  </si>
  <si>
    <t xml:space="preserve"> [300000] </t>
  </si>
  <si>
    <t xml:space="preserve"> [310000] </t>
  </si>
  <si>
    <t xml:space="preserve"> [310300] </t>
  </si>
  <si>
    <t>[111048]</t>
  </si>
  <si>
    <t>Штрафы</t>
  </si>
  <si>
    <t>Погашение к/з по програм. стр.-ва и ремонта систем водоснабжения</t>
  </si>
  <si>
    <t>Целевые субсидии ГА г. Бендеры</t>
  </si>
  <si>
    <t>1500</t>
  </si>
  <si>
    <t>Расходы от оказ. плат. усл. (ГС КиИН, театр)</t>
  </si>
  <si>
    <t>ПРЕДОСТ. И ВОЗВРАТ ЗАЙМОВ ЗА СЧЁТ БЮДЖЕТА</t>
  </si>
  <si>
    <t>УПЛАТА % И ПОГАШ. КРЕДИТОВ СОГЛ. ДОГОВОРАМ, ЗАКЛЮЧ-М С ГЛ.РАСП-МИ КРЕД.</t>
  </si>
  <si>
    <t>Субсидии на содержание и благоустройство ИВМК "Бендерская крепость" и парка им. А. Невского  (ГА Бендер)</t>
  </si>
  <si>
    <t>Министерство юстиции ПМР,                    ГУ "Юридическая литература"</t>
  </si>
  <si>
    <t>Приднестровский гос. театр драмы и комедии им. Н. С. Аронецкой ГС КиИН</t>
  </si>
  <si>
    <t>Целевые субсидии  ГА  г.Тирасполя</t>
  </si>
  <si>
    <t>Целевые субсидии  ГА г. Днестровска</t>
  </si>
  <si>
    <t>Целевые субсидии ГА Григориопольского р-на и г. Григориополя</t>
  </si>
  <si>
    <t>Целевые субсидии ГА Дубоссарского р-на и  г. Дубоссары</t>
  </si>
  <si>
    <t>Целевые субсидии ГА Слободзейского р-на и г. Слободзеи</t>
  </si>
  <si>
    <t>СОЗДАНИЕ ГОСУДАРСТВ. РЕЗЕРВОВ</t>
  </si>
  <si>
    <t>Предоставле- ние займов финансовым учреждениям</t>
  </si>
  <si>
    <t>Государственная служба охраны ПМР</t>
  </si>
  <si>
    <t>Реализация мероприятий по внедрению АСОП и приобретению МТС для обеспечения функционирования АСОП</t>
  </si>
  <si>
    <t>Целевые субсидии  ГА Рыбницкого р-на и г. Рыбницы</t>
  </si>
  <si>
    <t>Министерство цифрового развития, связи и массовых коммуникаций ПМР (лиценз. сбор)</t>
  </si>
  <si>
    <t>Министерство цифрового развития, связи и массовых коммуникаций ПМР (ПГТРК)</t>
  </si>
  <si>
    <t>Министерство цифрового развития, связи и массовых коммуникаций ПМР (ретрансляция)</t>
  </si>
  <si>
    <t>Министерство цифрового развития, связи и массовых коммуникаций ПМР (газета)</t>
  </si>
  <si>
    <t>[110900]</t>
  </si>
  <si>
    <t>ОПЛАТА УСЛУГ ПО ТИПОВОМУ ПРОЕКТИРОВАНИЮ</t>
  </si>
  <si>
    <t>Субсидии с/х производителей</t>
  </si>
  <si>
    <t>ГЦП "Замена светильн. авто. дорог общего пользования ПМР, наход. в гос. и муниц. собствен."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</si>
</sst>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;\-#,##0;;@"/>
    <numFmt numFmtId="165" formatCode="#,#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5" fillId="0" borderId="0"/>
    <xf numFmtId="0" fontId="5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</cellStyleXfs>
  <cellXfs count="120">
    <xf numFmtId="0" fontId="0" fillId="0" borderId="0" xfId="0"/>
    <xf numFmtId="165" fontId="8" fillId="0" borderId="2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/>
    </xf>
    <xf numFmtId="49" fontId="8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165" fontId="12" fillId="2" borderId="8" xfId="0" applyNumberFormat="1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5" fontId="12" fillId="0" borderId="1" xfId="0" applyNumberFormat="1" applyFont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165" fontId="13" fillId="0" borderId="6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5" fontId="12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165" fontId="13" fillId="0" borderId="6" xfId="0" applyNumberFormat="1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 wrapText="1"/>
    </xf>
    <xf numFmtId="165" fontId="12" fillId="0" borderId="6" xfId="0" applyNumberFormat="1" applyFont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165" fontId="12" fillId="2" borderId="2" xfId="0" applyNumberFormat="1" applyFont="1" applyFill="1" applyBorder="1" applyAlignment="1">
      <alignment vertical="center"/>
    </xf>
    <xf numFmtId="164" fontId="10" fillId="0" borderId="1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/>
    </xf>
    <xf numFmtId="165" fontId="12" fillId="2" borderId="9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 wrapText="1"/>
    </xf>
    <xf numFmtId="165" fontId="12" fillId="2" borderId="7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65" fontId="12" fillId="3" borderId="1" xfId="0" applyNumberFormat="1" applyFont="1" applyFill="1" applyBorder="1" applyAlignment="1">
      <alignment vertical="center"/>
    </xf>
    <xf numFmtId="165" fontId="13" fillId="3" borderId="1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vertical="center"/>
    </xf>
    <xf numFmtId="165" fontId="13" fillId="3" borderId="6" xfId="0" applyNumberFormat="1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vertical="center" wrapText="1"/>
    </xf>
    <xf numFmtId="164" fontId="14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vertical="center" wrapText="1"/>
    </xf>
    <xf numFmtId="49" fontId="8" fillId="2" borderId="13" xfId="0" applyNumberFormat="1" applyFont="1" applyFill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65" fontId="12" fillId="3" borderId="6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49" fontId="8" fillId="4" borderId="1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165" fontId="12" fillId="4" borderId="1" xfId="0" applyNumberFormat="1" applyFont="1" applyFill="1" applyBorder="1" applyAlignment="1">
      <alignment vertical="center"/>
    </xf>
    <xf numFmtId="165" fontId="12" fillId="4" borderId="6" xfId="0" applyNumberFormat="1" applyFont="1" applyFill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165" fontId="19" fillId="0" borderId="4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</cellXfs>
  <cellStyles count="43">
    <cellStyle name="Обычный" xfId="0" builtinId="0"/>
    <cellStyle name="Обычный 10" xfId="16"/>
    <cellStyle name="Обычный 11" xfId="30"/>
    <cellStyle name="Обычный 2" xfId="2"/>
    <cellStyle name="Обычный 2 2" xfId="6"/>
    <cellStyle name="Обычный 2 2 2" xfId="14"/>
    <cellStyle name="Обычный 2 2 2 2" xfId="28"/>
    <cellStyle name="Обычный 2 2 2 3" xfId="41"/>
    <cellStyle name="Обычный 2 2 3" xfId="22"/>
    <cellStyle name="Обычный 2 2 4" xfId="35"/>
    <cellStyle name="Обычный 2 3" xfId="11"/>
    <cellStyle name="Обычный 2 3 2" xfId="25"/>
    <cellStyle name="Обычный 2 3 3" xfId="38"/>
    <cellStyle name="Обычный 2 4" xfId="19"/>
    <cellStyle name="Обычный 2 5" xfId="32"/>
    <cellStyle name="Обычный 3" xfId="1"/>
    <cellStyle name="Обычный 3 2" xfId="5"/>
    <cellStyle name="Обычный 3 2 2" xfId="13"/>
    <cellStyle name="Обычный 3 2 2 2" xfId="27"/>
    <cellStyle name="Обычный 3 2 2 3" xfId="40"/>
    <cellStyle name="Обычный 3 2 3" xfId="21"/>
    <cellStyle name="Обычный 3 2 4" xfId="34"/>
    <cellStyle name="Обычный 3 3" xfId="10"/>
    <cellStyle name="Обычный 3 3 2" xfId="24"/>
    <cellStyle name="Обычный 3 3 3" xfId="37"/>
    <cellStyle name="Обычный 3 4" xfId="18"/>
    <cellStyle name="Обычный 3 5" xfId="31"/>
    <cellStyle name="Обычный 4" xfId="7"/>
    <cellStyle name="Обычный 5" xfId="4"/>
    <cellStyle name="Обычный 6" xfId="3"/>
    <cellStyle name="Обычный 6 2" xfId="12"/>
    <cellStyle name="Обычный 6 2 2" xfId="26"/>
    <cellStyle name="Обычный 6 2 3" xfId="39"/>
    <cellStyle name="Обычный 6 3" xfId="20"/>
    <cellStyle name="Обычный 6 4" xfId="33"/>
    <cellStyle name="Обычный 7" xfId="9"/>
    <cellStyle name="Обычный 8" xfId="8"/>
    <cellStyle name="Обычный 8 2" xfId="23"/>
    <cellStyle name="Обычный 8 3" xfId="36"/>
    <cellStyle name="Обычный 9" xfId="17"/>
    <cellStyle name="Финансовый 2" xfId="15"/>
    <cellStyle name="Финансовый 2 2" xfId="29"/>
    <cellStyle name="Финансовый 2 3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319"/>
  <sheetViews>
    <sheetView tabSelected="1" zoomScale="130" zoomScaleNormal="130" zoomScaleSheetLayoutView="100" workbookViewId="0">
      <pane xSplit="4" ySplit="9" topLeftCell="E309" activePane="bottomRight" state="frozen"/>
      <selection pane="topRight" activeCell="E1" sqref="E1"/>
      <selection pane="bottomLeft" activeCell="A11" sqref="A11"/>
      <selection pane="bottomRight" activeCell="E630" sqref="E630"/>
    </sheetView>
  </sheetViews>
  <sheetFormatPr defaultColWidth="9.140625" defaultRowHeight="15" x14ac:dyDescent="0.25"/>
  <cols>
    <col min="1" max="1" width="6.28515625" style="83" customWidth="1"/>
    <col min="2" max="2" width="3.85546875" style="83" customWidth="1"/>
    <col min="3" max="3" width="49.140625" style="83" customWidth="1"/>
    <col min="4" max="4" width="12" style="83" customWidth="1"/>
    <col min="5" max="5" width="11.140625" style="83" customWidth="1"/>
    <col min="6" max="7" width="11" style="83" customWidth="1"/>
    <col min="8" max="8" width="9.7109375" style="83" customWidth="1"/>
    <col min="9" max="10" width="12.28515625" style="83" customWidth="1"/>
    <col min="11" max="11" width="9.85546875" style="83" customWidth="1"/>
    <col min="12" max="12" width="8.7109375" style="83" customWidth="1"/>
    <col min="13" max="13" width="7.85546875" style="83" customWidth="1"/>
    <col min="14" max="14" width="9.5703125" style="83" customWidth="1"/>
    <col min="15" max="15" width="8.85546875" style="83" customWidth="1"/>
    <col min="16" max="16" width="10.140625" style="83" customWidth="1"/>
    <col min="17" max="18" width="9.140625" style="83" customWidth="1"/>
    <col min="19" max="19" width="8.28515625" style="83" customWidth="1"/>
    <col min="20" max="20" width="9.140625" style="83" customWidth="1"/>
    <col min="21" max="21" width="9.5703125" style="83" customWidth="1"/>
    <col min="22" max="22" width="8.5703125" style="83" customWidth="1"/>
    <col min="23" max="24" width="8.7109375" style="83" customWidth="1"/>
    <col min="25" max="25" width="9.140625" style="83" customWidth="1"/>
    <col min="26" max="26" width="7.85546875" style="83" customWidth="1"/>
    <col min="27" max="27" width="8.5703125" style="83" customWidth="1"/>
    <col min="28" max="28" width="9.5703125" style="83" customWidth="1"/>
    <col min="29" max="29" width="7.85546875" style="83" customWidth="1"/>
    <col min="30" max="30" width="13.140625" style="83" customWidth="1"/>
    <col min="31" max="31" width="10" style="83" customWidth="1"/>
    <col min="32" max="32" width="9.140625" style="83" customWidth="1"/>
    <col min="33" max="33" width="13.140625" style="83" customWidth="1"/>
    <col min="34" max="34" width="9.85546875" style="83" customWidth="1"/>
    <col min="35" max="35" width="9.5703125" style="83" customWidth="1"/>
    <col min="36" max="37" width="7.85546875" style="83" customWidth="1"/>
    <col min="38" max="39" width="9" style="83" customWidth="1"/>
    <col min="40" max="40" width="7.85546875" style="83" customWidth="1"/>
    <col min="41" max="41" width="9" style="83" customWidth="1"/>
    <col min="42" max="42" width="8.28515625" style="83" customWidth="1"/>
    <col min="43" max="43" width="7.7109375" style="83" customWidth="1"/>
    <col min="44" max="44" width="8.7109375" style="83" customWidth="1"/>
    <col min="45" max="45" width="7.85546875" style="83" customWidth="1"/>
    <col min="46" max="46" width="8.140625" style="83" customWidth="1"/>
    <col min="47" max="47" width="8.7109375" style="83" customWidth="1"/>
    <col min="48" max="48" width="8.42578125" style="83" customWidth="1"/>
    <col min="49" max="49" width="8.7109375" style="83" customWidth="1"/>
    <col min="50" max="50" width="10.28515625" style="83" customWidth="1"/>
    <col min="51" max="51" width="8.140625" style="83" customWidth="1"/>
    <col min="52" max="52" width="8.85546875" style="83" customWidth="1"/>
    <col min="53" max="53" width="10.42578125" style="83" customWidth="1"/>
    <col min="54" max="54" width="10.85546875" style="83" customWidth="1"/>
    <col min="55" max="55" width="9.7109375" style="83" customWidth="1"/>
    <col min="56" max="56" width="9.5703125" style="83" customWidth="1"/>
    <col min="57" max="57" width="8.42578125" style="83" customWidth="1"/>
    <col min="58" max="58" width="8.85546875" style="83" customWidth="1"/>
    <col min="59" max="59" width="8.7109375" style="83" customWidth="1"/>
    <col min="60" max="60" width="8.85546875" style="83" customWidth="1"/>
    <col min="61" max="61" width="9.140625" style="83" customWidth="1"/>
    <col min="62" max="63" width="10.85546875" style="83" customWidth="1"/>
    <col min="64" max="64" width="8.85546875" style="83" customWidth="1"/>
    <col min="65" max="65" width="9.5703125" style="83" customWidth="1"/>
    <col min="66" max="66" width="9" style="83" customWidth="1"/>
    <col min="67" max="68" width="9.7109375" style="83" customWidth="1"/>
    <col min="69" max="69" width="8.5703125" style="83" customWidth="1"/>
    <col min="70" max="70" width="9.5703125" style="83" customWidth="1"/>
    <col min="71" max="71" width="10.140625" style="83" customWidth="1"/>
    <col min="72" max="72" width="9.140625" style="83" customWidth="1"/>
    <col min="73" max="73" width="7.7109375" style="83" customWidth="1"/>
    <col min="74" max="74" width="10.140625" style="83" customWidth="1"/>
    <col min="75" max="76" width="9.140625" style="83" customWidth="1"/>
    <col min="77" max="77" width="10.140625" style="83" customWidth="1"/>
    <col min="78" max="78" width="9.140625" style="83" customWidth="1"/>
    <col min="79" max="79" width="10.140625" style="83" customWidth="1"/>
    <col min="80" max="81" width="10" style="83" customWidth="1"/>
    <col min="82" max="82" width="8.28515625" style="83" customWidth="1"/>
    <col min="83" max="84" width="10" style="83" customWidth="1"/>
    <col min="85" max="85" width="10.140625" style="83" customWidth="1"/>
    <col min="86" max="87" width="9.5703125" style="83" customWidth="1"/>
    <col min="88" max="88" width="8.7109375" style="83" customWidth="1"/>
    <col min="89" max="89" width="8" style="83" customWidth="1"/>
    <col min="90" max="90" width="9.7109375" style="83" customWidth="1"/>
    <col min="91" max="91" width="7.28515625" style="83" customWidth="1"/>
    <col min="92" max="92" width="9.42578125" style="83" customWidth="1"/>
    <col min="93" max="93" width="8.7109375" style="83" customWidth="1"/>
    <col min="94" max="94" width="8.28515625" style="83" customWidth="1"/>
    <col min="95" max="95" width="8.42578125" style="83" customWidth="1"/>
    <col min="96" max="96" width="11.42578125" style="83" customWidth="1"/>
    <col min="97" max="97" width="9" style="83" customWidth="1"/>
    <col min="98" max="101" width="10.140625" style="83" customWidth="1"/>
    <col min="102" max="102" width="14.7109375" style="83" customWidth="1"/>
    <col min="103" max="103" width="9.7109375" style="83" customWidth="1"/>
    <col min="104" max="104" width="9" style="83" customWidth="1"/>
    <col min="105" max="105" width="9.5703125" style="83" customWidth="1"/>
    <col min="106" max="106" width="5.7109375" style="84" customWidth="1"/>
    <col min="107" max="107" width="5.28515625" style="83" customWidth="1"/>
    <col min="108" max="108" width="4.28515625" style="83" customWidth="1"/>
    <col min="109" max="109" width="58.28515625" style="119" customWidth="1"/>
    <col min="110" max="16384" width="9.140625" style="83"/>
  </cols>
  <sheetData>
    <row r="1" spans="1:109" s="7" customFormat="1" ht="15.75" x14ac:dyDescent="0.25">
      <c r="A1" s="4"/>
      <c r="B1" s="4"/>
      <c r="C1" s="5"/>
      <c r="D1" s="6"/>
      <c r="E1" s="6"/>
      <c r="G1" s="8"/>
      <c r="H1" s="8"/>
      <c r="K1" s="116" t="s">
        <v>497</v>
      </c>
      <c r="L1" s="116"/>
      <c r="M1" s="116"/>
      <c r="N1" s="116"/>
      <c r="O1" s="116"/>
      <c r="P1" s="116"/>
      <c r="Q1" s="116"/>
      <c r="R1" s="6"/>
      <c r="S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DB1" s="56"/>
      <c r="DE1" s="118"/>
    </row>
    <row r="2" spans="1:109" s="7" customFormat="1" ht="15.75" x14ac:dyDescent="0.25">
      <c r="A2" s="4"/>
      <c r="B2" s="4"/>
      <c r="C2" s="5"/>
      <c r="D2" s="6"/>
      <c r="E2" s="6"/>
      <c r="G2" s="8"/>
      <c r="H2" s="8"/>
      <c r="K2" s="116" t="s">
        <v>460</v>
      </c>
      <c r="L2" s="116"/>
      <c r="M2" s="116"/>
      <c r="N2" s="116"/>
      <c r="O2" s="116"/>
      <c r="P2" s="116"/>
      <c r="Q2" s="116"/>
      <c r="R2" s="6"/>
      <c r="S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DB2" s="56"/>
      <c r="DE2" s="118"/>
    </row>
    <row r="3" spans="1:109" s="7" customFormat="1" ht="15.75" x14ac:dyDescent="0.25">
      <c r="A3" s="4"/>
      <c r="B3" s="4"/>
      <c r="C3" s="5"/>
      <c r="D3" s="6"/>
      <c r="E3" s="6"/>
      <c r="G3" s="8"/>
      <c r="H3" s="8"/>
      <c r="K3" s="116" t="s">
        <v>589</v>
      </c>
      <c r="L3" s="116"/>
      <c r="M3" s="116"/>
      <c r="N3" s="116"/>
      <c r="O3" s="116"/>
      <c r="P3" s="116"/>
      <c r="Q3" s="116"/>
      <c r="R3" s="6"/>
      <c r="S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DB3" s="56"/>
      <c r="DE3" s="118"/>
    </row>
    <row r="4" spans="1:109" s="7" customFormat="1" ht="15.75" x14ac:dyDescent="0.25">
      <c r="A4" s="4"/>
      <c r="B4" s="4"/>
      <c r="C4" s="5"/>
      <c r="D4" s="6"/>
      <c r="E4" s="6"/>
      <c r="G4" s="8"/>
      <c r="H4" s="8"/>
      <c r="L4" s="6"/>
      <c r="M4" s="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DB4" s="56"/>
      <c r="DE4" s="118"/>
    </row>
    <row r="5" spans="1:109" s="7" customFormat="1" ht="15.75" x14ac:dyDescent="0.25">
      <c r="A5" s="9"/>
      <c r="B5" s="9"/>
      <c r="C5" s="5"/>
      <c r="D5" s="10" t="s">
        <v>602</v>
      </c>
      <c r="E5" s="10"/>
      <c r="F5" s="10"/>
      <c r="G5" s="10"/>
      <c r="H5" s="10"/>
      <c r="I5" s="10"/>
      <c r="J5" s="10"/>
      <c r="K5" s="10"/>
      <c r="DB5" s="56"/>
      <c r="DE5" s="118"/>
    </row>
    <row r="6" spans="1:109" s="3" customFormat="1" ht="16.5" thickBot="1" x14ac:dyDescent="0.3">
      <c r="A6" s="11"/>
      <c r="B6" s="11"/>
      <c r="E6" s="12"/>
      <c r="F6" s="12"/>
      <c r="P6" s="117" t="s">
        <v>461</v>
      </c>
      <c r="Q6" s="117"/>
      <c r="DB6" s="57"/>
    </row>
    <row r="7" spans="1:109" s="3" customFormat="1" ht="24" customHeight="1" x14ac:dyDescent="0.25">
      <c r="A7" s="52" t="s">
        <v>531</v>
      </c>
      <c r="B7" s="95" t="s">
        <v>64</v>
      </c>
      <c r="C7" s="98" t="s">
        <v>0</v>
      </c>
      <c r="D7" s="101" t="s">
        <v>17</v>
      </c>
      <c r="E7" s="104" t="s">
        <v>2</v>
      </c>
      <c r="F7" s="104" t="s">
        <v>3</v>
      </c>
      <c r="G7" s="104" t="s">
        <v>4</v>
      </c>
      <c r="H7" s="104" t="s">
        <v>501</v>
      </c>
      <c r="I7" s="104" t="s">
        <v>18</v>
      </c>
      <c r="J7" s="104" t="s">
        <v>19</v>
      </c>
      <c r="K7" s="104" t="s">
        <v>20</v>
      </c>
      <c r="L7" s="104" t="s">
        <v>5</v>
      </c>
      <c r="M7" s="104" t="s">
        <v>6</v>
      </c>
      <c r="N7" s="104" t="s">
        <v>21</v>
      </c>
      <c r="O7" s="104" t="s">
        <v>22</v>
      </c>
      <c r="P7" s="104" t="s">
        <v>517</v>
      </c>
      <c r="Q7" s="104" t="s">
        <v>23</v>
      </c>
      <c r="R7" s="104" t="s">
        <v>24</v>
      </c>
      <c r="S7" s="104" t="s">
        <v>25</v>
      </c>
      <c r="T7" s="104" t="s">
        <v>7</v>
      </c>
      <c r="U7" s="104" t="s">
        <v>26</v>
      </c>
      <c r="V7" s="104" t="s">
        <v>27</v>
      </c>
      <c r="W7" s="104" t="s">
        <v>8</v>
      </c>
      <c r="X7" s="104" t="s">
        <v>28</v>
      </c>
      <c r="Y7" s="104" t="s">
        <v>29</v>
      </c>
      <c r="Z7" s="104" t="s">
        <v>9</v>
      </c>
      <c r="AA7" s="104" t="s">
        <v>10</v>
      </c>
      <c r="AB7" s="104" t="s">
        <v>30</v>
      </c>
      <c r="AC7" s="104" t="s">
        <v>11</v>
      </c>
      <c r="AD7" s="104" t="s">
        <v>642</v>
      </c>
      <c r="AE7" s="104" t="s">
        <v>31</v>
      </c>
      <c r="AF7" s="104" t="s">
        <v>508</v>
      </c>
      <c r="AG7" s="104" t="s">
        <v>509</v>
      </c>
      <c r="AH7" s="104" t="s">
        <v>32</v>
      </c>
      <c r="AI7" s="104" t="s">
        <v>33</v>
      </c>
      <c r="AJ7" s="104" t="s">
        <v>599</v>
      </c>
      <c r="AK7" s="104" t="s">
        <v>12</v>
      </c>
      <c r="AL7" s="104" t="s">
        <v>34</v>
      </c>
      <c r="AM7" s="104" t="s">
        <v>472</v>
      </c>
      <c r="AN7" s="104" t="s">
        <v>35</v>
      </c>
      <c r="AO7" s="104" t="s">
        <v>36</v>
      </c>
      <c r="AP7" s="104" t="s">
        <v>37</v>
      </c>
      <c r="AQ7" s="104" t="s">
        <v>617</v>
      </c>
      <c r="AR7" s="104" t="s">
        <v>38</v>
      </c>
      <c r="AS7" s="104" t="s">
        <v>39</v>
      </c>
      <c r="AT7" s="104" t="s">
        <v>40</v>
      </c>
      <c r="AU7" s="104" t="s">
        <v>41</v>
      </c>
      <c r="AV7" s="104" t="s">
        <v>42</v>
      </c>
      <c r="AW7" s="104" t="s">
        <v>462</v>
      </c>
      <c r="AX7" s="104" t="s">
        <v>43</v>
      </c>
      <c r="AY7" s="104" t="s">
        <v>473</v>
      </c>
      <c r="AZ7" s="106" t="s">
        <v>480</v>
      </c>
      <c r="BA7" s="104" t="s">
        <v>44</v>
      </c>
      <c r="BB7" s="104" t="s">
        <v>474</v>
      </c>
      <c r="BC7" s="104" t="s">
        <v>45</v>
      </c>
      <c r="BD7" s="104" t="s">
        <v>13</v>
      </c>
      <c r="BE7" s="104" t="s">
        <v>46</v>
      </c>
      <c r="BF7" s="104" t="s">
        <v>47</v>
      </c>
      <c r="BG7" s="104" t="s">
        <v>48</v>
      </c>
      <c r="BH7" s="104" t="s">
        <v>463</v>
      </c>
      <c r="BI7" s="104" t="s">
        <v>475</v>
      </c>
      <c r="BJ7" s="104" t="s">
        <v>464</v>
      </c>
      <c r="BK7" s="110" t="s">
        <v>600</v>
      </c>
      <c r="BL7" s="104" t="s">
        <v>49</v>
      </c>
      <c r="BM7" s="104" t="s">
        <v>50</v>
      </c>
      <c r="BN7" s="104" t="s">
        <v>498</v>
      </c>
      <c r="BO7" s="104" t="s">
        <v>476</v>
      </c>
      <c r="BP7" s="104" t="s">
        <v>51</v>
      </c>
      <c r="BQ7" s="104" t="s">
        <v>52</v>
      </c>
      <c r="BR7" s="104" t="s">
        <v>14</v>
      </c>
      <c r="BS7" s="104" t="s">
        <v>53</v>
      </c>
      <c r="BT7" s="104" t="s">
        <v>54</v>
      </c>
      <c r="BU7" s="104" t="s">
        <v>55</v>
      </c>
      <c r="BV7" s="104" t="s">
        <v>518</v>
      </c>
      <c r="BW7" s="104" t="s">
        <v>477</v>
      </c>
      <c r="BX7" s="104" t="s">
        <v>478</v>
      </c>
      <c r="BY7" s="104" t="s">
        <v>16</v>
      </c>
      <c r="BZ7" s="104" t="s">
        <v>56</v>
      </c>
      <c r="CA7" s="104" t="s">
        <v>465</v>
      </c>
      <c r="CB7" s="104" t="s">
        <v>519</v>
      </c>
      <c r="CC7" s="104" t="s">
        <v>57</v>
      </c>
      <c r="CD7" s="104" t="s">
        <v>58</v>
      </c>
      <c r="CE7" s="104" t="s">
        <v>59</v>
      </c>
      <c r="CF7" s="104" t="s">
        <v>60</v>
      </c>
      <c r="CG7" s="104" t="s">
        <v>510</v>
      </c>
      <c r="CH7" s="104" t="s">
        <v>520</v>
      </c>
      <c r="CI7" s="104" t="s">
        <v>511</v>
      </c>
      <c r="CJ7" s="104" t="s">
        <v>512</v>
      </c>
      <c r="CK7" s="104" t="s">
        <v>580</v>
      </c>
      <c r="CL7" s="104" t="s">
        <v>466</v>
      </c>
      <c r="CM7" s="104" t="s">
        <v>494</v>
      </c>
      <c r="CN7" s="104" t="s">
        <v>467</v>
      </c>
      <c r="CO7" s="104" t="s">
        <v>468</v>
      </c>
      <c r="CP7" s="104" t="s">
        <v>521</v>
      </c>
      <c r="CQ7" s="104" t="s">
        <v>496</v>
      </c>
      <c r="CR7" s="110" t="s">
        <v>632</v>
      </c>
      <c r="CS7" s="110" t="s">
        <v>607</v>
      </c>
      <c r="CT7" s="104" t="s">
        <v>479</v>
      </c>
      <c r="CU7" s="110" t="s">
        <v>622</v>
      </c>
      <c r="CV7" s="110" t="s">
        <v>612</v>
      </c>
      <c r="CW7" s="110" t="s">
        <v>633</v>
      </c>
      <c r="CX7" s="108" t="s">
        <v>623</v>
      </c>
      <c r="CY7" s="104" t="s">
        <v>61</v>
      </c>
      <c r="CZ7" s="104" t="s">
        <v>62</v>
      </c>
      <c r="DA7" s="114" t="s">
        <v>63</v>
      </c>
      <c r="DB7" s="56"/>
    </row>
    <row r="8" spans="1:109" s="3" customFormat="1" ht="24" customHeight="1" x14ac:dyDescent="0.25">
      <c r="A8" s="112" t="s">
        <v>530</v>
      </c>
      <c r="B8" s="96"/>
      <c r="C8" s="99"/>
      <c r="D8" s="102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7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11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11"/>
      <c r="CS8" s="111"/>
      <c r="CT8" s="105"/>
      <c r="CU8" s="111"/>
      <c r="CV8" s="111"/>
      <c r="CW8" s="111"/>
      <c r="CX8" s="109"/>
      <c r="CY8" s="105"/>
      <c r="CZ8" s="105"/>
      <c r="DA8" s="115"/>
      <c r="DB8" s="57"/>
    </row>
    <row r="9" spans="1:109" s="3" customFormat="1" ht="13.5" thickBot="1" x14ac:dyDescent="0.3">
      <c r="A9" s="113"/>
      <c r="B9" s="97"/>
      <c r="C9" s="100"/>
      <c r="D9" s="103"/>
      <c r="E9" s="1" t="s">
        <v>374</v>
      </c>
      <c r="F9" s="1" t="s">
        <v>375</v>
      </c>
      <c r="G9" s="1" t="s">
        <v>376</v>
      </c>
      <c r="H9" s="1" t="s">
        <v>377</v>
      </c>
      <c r="I9" s="1" t="s">
        <v>378</v>
      </c>
      <c r="J9" s="1" t="s">
        <v>379</v>
      </c>
      <c r="K9" s="1" t="s">
        <v>380</v>
      </c>
      <c r="L9" s="1" t="s">
        <v>381</v>
      </c>
      <c r="M9" s="1" t="s">
        <v>382</v>
      </c>
      <c r="N9" s="1" t="s">
        <v>383</v>
      </c>
      <c r="O9" s="1" t="s">
        <v>384</v>
      </c>
      <c r="P9" s="1" t="s">
        <v>385</v>
      </c>
      <c r="Q9" s="1" t="s">
        <v>386</v>
      </c>
      <c r="R9" s="1" t="s">
        <v>387</v>
      </c>
      <c r="S9" s="1" t="s">
        <v>388</v>
      </c>
      <c r="T9" s="1" t="s">
        <v>389</v>
      </c>
      <c r="U9" s="1" t="s">
        <v>390</v>
      </c>
      <c r="V9" s="1" t="s">
        <v>391</v>
      </c>
      <c r="W9" s="1" t="s">
        <v>392</v>
      </c>
      <c r="X9" s="1" t="s">
        <v>393</v>
      </c>
      <c r="Y9" s="1" t="s">
        <v>394</v>
      </c>
      <c r="Z9" s="1" t="s">
        <v>395</v>
      </c>
      <c r="AA9" s="1" t="s">
        <v>396</v>
      </c>
      <c r="AB9" s="1" t="s">
        <v>397</v>
      </c>
      <c r="AC9" s="1" t="s">
        <v>398</v>
      </c>
      <c r="AD9" s="1" t="s">
        <v>641</v>
      </c>
      <c r="AE9" s="1" t="s">
        <v>399</v>
      </c>
      <c r="AF9" s="1" t="s">
        <v>400</v>
      </c>
      <c r="AG9" s="1" t="s">
        <v>401</v>
      </c>
      <c r="AH9" s="1" t="s">
        <v>402</v>
      </c>
      <c r="AI9" s="1" t="s">
        <v>403</v>
      </c>
      <c r="AJ9" s="1" t="s">
        <v>404</v>
      </c>
      <c r="AK9" s="1" t="s">
        <v>405</v>
      </c>
      <c r="AL9" s="1" t="s">
        <v>406</v>
      </c>
      <c r="AM9" s="1" t="s">
        <v>407</v>
      </c>
      <c r="AN9" s="1" t="s">
        <v>408</v>
      </c>
      <c r="AO9" s="1" t="s">
        <v>409</v>
      </c>
      <c r="AP9" s="1" t="s">
        <v>410</v>
      </c>
      <c r="AQ9" s="1" t="s">
        <v>616</v>
      </c>
      <c r="AR9" s="1" t="s">
        <v>411</v>
      </c>
      <c r="AS9" s="1" t="s">
        <v>412</v>
      </c>
      <c r="AT9" s="1" t="s">
        <v>413</v>
      </c>
      <c r="AU9" s="1" t="s">
        <v>414</v>
      </c>
      <c r="AV9" s="1" t="s">
        <v>415</v>
      </c>
      <c r="AW9" s="1" t="s">
        <v>416</v>
      </c>
      <c r="AX9" s="1" t="s">
        <v>417</v>
      </c>
      <c r="AY9" s="1" t="s">
        <v>418</v>
      </c>
      <c r="AZ9" s="51" t="s">
        <v>481</v>
      </c>
      <c r="BA9" s="1" t="s">
        <v>419</v>
      </c>
      <c r="BB9" s="1" t="s">
        <v>420</v>
      </c>
      <c r="BC9" s="1" t="s">
        <v>421</v>
      </c>
      <c r="BD9" s="1" t="s">
        <v>422</v>
      </c>
      <c r="BE9" s="1" t="s">
        <v>423</v>
      </c>
      <c r="BF9" s="1" t="s">
        <v>424</v>
      </c>
      <c r="BG9" s="1" t="s">
        <v>425</v>
      </c>
      <c r="BH9" s="1" t="s">
        <v>426</v>
      </c>
      <c r="BI9" s="1" t="s">
        <v>427</v>
      </c>
      <c r="BJ9" s="1" t="s">
        <v>428</v>
      </c>
      <c r="BK9" s="1" t="s">
        <v>597</v>
      </c>
      <c r="BL9" s="1" t="s">
        <v>429</v>
      </c>
      <c r="BM9" s="1" t="s">
        <v>430</v>
      </c>
      <c r="BN9" s="1" t="s">
        <v>470</v>
      </c>
      <c r="BO9" s="1" t="s">
        <v>431</v>
      </c>
      <c r="BP9" s="1" t="s">
        <v>432</v>
      </c>
      <c r="BQ9" s="1" t="s">
        <v>433</v>
      </c>
      <c r="BR9" s="1" t="s">
        <v>434</v>
      </c>
      <c r="BS9" s="1" t="s">
        <v>435</v>
      </c>
      <c r="BT9" s="1" t="s">
        <v>436</v>
      </c>
      <c r="BU9" s="1" t="s">
        <v>437</v>
      </c>
      <c r="BV9" s="1" t="s">
        <v>438</v>
      </c>
      <c r="BW9" s="1" t="s">
        <v>439</v>
      </c>
      <c r="BX9" s="1" t="s">
        <v>440</v>
      </c>
      <c r="BY9" s="1" t="s">
        <v>441</v>
      </c>
      <c r="BZ9" s="1" t="s">
        <v>442</v>
      </c>
      <c r="CA9" s="1" t="s">
        <v>443</v>
      </c>
      <c r="CB9" s="1" t="s">
        <v>444</v>
      </c>
      <c r="CC9" s="1" t="s">
        <v>445</v>
      </c>
      <c r="CD9" s="1" t="s">
        <v>446</v>
      </c>
      <c r="CE9" s="1" t="s">
        <v>447</v>
      </c>
      <c r="CF9" s="1" t="s">
        <v>448</v>
      </c>
      <c r="CG9" s="1" t="s">
        <v>449</v>
      </c>
      <c r="CH9" s="1" t="s">
        <v>491</v>
      </c>
      <c r="CI9" s="1" t="s">
        <v>450</v>
      </c>
      <c r="CJ9" s="1" t="s">
        <v>492</v>
      </c>
      <c r="CK9" s="1" t="s">
        <v>579</v>
      </c>
      <c r="CL9" s="1" t="s">
        <v>451</v>
      </c>
      <c r="CM9" s="1" t="s">
        <v>493</v>
      </c>
      <c r="CN9" s="1" t="s">
        <v>452</v>
      </c>
      <c r="CO9" s="1" t="s">
        <v>453</v>
      </c>
      <c r="CP9" s="1" t="s">
        <v>454</v>
      </c>
      <c r="CQ9" s="1" t="s">
        <v>495</v>
      </c>
      <c r="CR9" s="1" t="s">
        <v>608</v>
      </c>
      <c r="CS9" s="1" t="s">
        <v>609</v>
      </c>
      <c r="CT9" s="1" t="s">
        <v>455</v>
      </c>
      <c r="CU9" s="1" t="s">
        <v>613</v>
      </c>
      <c r="CV9" s="1" t="s">
        <v>614</v>
      </c>
      <c r="CW9" s="1" t="s">
        <v>615</v>
      </c>
      <c r="CX9" s="1" t="s">
        <v>456</v>
      </c>
      <c r="CY9" s="1" t="s">
        <v>457</v>
      </c>
      <c r="CZ9" s="1" t="s">
        <v>458</v>
      </c>
      <c r="DA9" s="2" t="s">
        <v>459</v>
      </c>
      <c r="DB9" s="57"/>
    </row>
    <row r="10" spans="1:109" s="86" customFormat="1" ht="31.5" x14ac:dyDescent="0.25">
      <c r="A10" s="70" t="s">
        <v>65</v>
      </c>
      <c r="B10" s="13" t="s">
        <v>1</v>
      </c>
      <c r="C10" s="14" t="s">
        <v>66</v>
      </c>
      <c r="D10" s="15">
        <f t="shared" ref="D10:AI10" si="0">SUM(D11+D13+D17+D31+D33+D38+D40)</f>
        <v>269909178</v>
      </c>
      <c r="E10" s="15">
        <f t="shared" si="0"/>
        <v>255264246</v>
      </c>
      <c r="F10" s="15">
        <f t="shared" si="0"/>
        <v>250534437</v>
      </c>
      <c r="G10" s="15">
        <f t="shared" si="0"/>
        <v>164676143</v>
      </c>
      <c r="H10" s="15">
        <f t="shared" si="0"/>
        <v>34737409</v>
      </c>
      <c r="I10" s="15">
        <f t="shared" si="0"/>
        <v>14388654</v>
      </c>
      <c r="J10" s="15">
        <f t="shared" si="0"/>
        <v>0</v>
      </c>
      <c r="K10" s="15">
        <f t="shared" si="0"/>
        <v>507219</v>
      </c>
      <c r="L10" s="15">
        <f t="shared" si="0"/>
        <v>0</v>
      </c>
      <c r="M10" s="15">
        <f t="shared" si="0"/>
        <v>0</v>
      </c>
      <c r="N10" s="15">
        <f t="shared" si="0"/>
        <v>8617403</v>
      </c>
      <c r="O10" s="15">
        <f t="shared" si="0"/>
        <v>5264032</v>
      </c>
      <c r="P10" s="15">
        <f t="shared" si="0"/>
        <v>2727022</v>
      </c>
      <c r="Q10" s="15">
        <f t="shared" si="0"/>
        <v>12797</v>
      </c>
      <c r="R10" s="15">
        <f t="shared" si="0"/>
        <v>2714225</v>
      </c>
      <c r="S10" s="15">
        <f t="shared" si="0"/>
        <v>35000</v>
      </c>
      <c r="T10" s="15">
        <f t="shared" si="0"/>
        <v>4133655</v>
      </c>
      <c r="U10" s="15">
        <f t="shared" si="0"/>
        <v>4359331</v>
      </c>
      <c r="V10" s="15">
        <f t="shared" si="0"/>
        <v>1047077</v>
      </c>
      <c r="W10" s="15">
        <f t="shared" si="0"/>
        <v>1093803</v>
      </c>
      <c r="X10" s="15">
        <f t="shared" si="0"/>
        <v>1252197</v>
      </c>
      <c r="Y10" s="15">
        <f t="shared" si="0"/>
        <v>232269</v>
      </c>
      <c r="Z10" s="15">
        <f t="shared" si="0"/>
        <v>149308</v>
      </c>
      <c r="AA10" s="15">
        <f t="shared" si="0"/>
        <v>468977</v>
      </c>
      <c r="AB10" s="15">
        <f t="shared" si="0"/>
        <v>0</v>
      </c>
      <c r="AC10" s="15">
        <f t="shared" si="0"/>
        <v>115700</v>
      </c>
      <c r="AD10" s="15">
        <f t="shared" ref="AD10" si="1">SUM(AD11+AD13+AD17+AD31+AD33+AD38+AD40)</f>
        <v>0</v>
      </c>
      <c r="AE10" s="15">
        <f t="shared" si="0"/>
        <v>25477223</v>
      </c>
      <c r="AF10" s="15">
        <f t="shared" si="0"/>
        <v>0</v>
      </c>
      <c r="AG10" s="15">
        <f t="shared" si="0"/>
        <v>0</v>
      </c>
      <c r="AH10" s="15">
        <f t="shared" si="0"/>
        <v>480956</v>
      </c>
      <c r="AI10" s="15">
        <f t="shared" si="0"/>
        <v>2999693</v>
      </c>
      <c r="AJ10" s="15">
        <f t="shared" ref="AJ10:BQ10" si="2">SUM(AJ11+AJ13+AJ17+AJ31+AJ33+AJ38+AJ40)</f>
        <v>0</v>
      </c>
      <c r="AK10" s="15">
        <f t="shared" si="2"/>
        <v>154726</v>
      </c>
      <c r="AL10" s="15">
        <f t="shared" si="2"/>
        <v>1046213</v>
      </c>
      <c r="AM10" s="15">
        <f t="shared" si="2"/>
        <v>581426</v>
      </c>
      <c r="AN10" s="15">
        <f t="shared" si="2"/>
        <v>730953</v>
      </c>
      <c r="AO10" s="15">
        <f t="shared" si="2"/>
        <v>8176002</v>
      </c>
      <c r="AP10" s="15">
        <f t="shared" si="2"/>
        <v>8576</v>
      </c>
      <c r="AQ10" s="15"/>
      <c r="AR10" s="15">
        <f t="shared" si="2"/>
        <v>0</v>
      </c>
      <c r="AS10" s="15">
        <f t="shared" si="2"/>
        <v>540972</v>
      </c>
      <c r="AT10" s="15">
        <f t="shared" si="2"/>
        <v>322371</v>
      </c>
      <c r="AU10" s="15">
        <f t="shared" si="2"/>
        <v>0</v>
      </c>
      <c r="AV10" s="15">
        <f t="shared" si="2"/>
        <v>0</v>
      </c>
      <c r="AW10" s="15">
        <f t="shared" si="2"/>
        <v>0</v>
      </c>
      <c r="AX10" s="15">
        <f t="shared" si="2"/>
        <v>1016988</v>
      </c>
      <c r="AY10" s="15">
        <f t="shared" si="2"/>
        <v>2321321</v>
      </c>
      <c r="AZ10" s="15">
        <f t="shared" si="2"/>
        <v>446402</v>
      </c>
      <c r="BA10" s="15">
        <f t="shared" si="2"/>
        <v>6650624</v>
      </c>
      <c r="BB10" s="15">
        <f t="shared" si="2"/>
        <v>4729809</v>
      </c>
      <c r="BC10" s="15">
        <f t="shared" si="2"/>
        <v>0</v>
      </c>
      <c r="BD10" s="15">
        <f t="shared" si="2"/>
        <v>0</v>
      </c>
      <c r="BE10" s="15">
        <f t="shared" si="2"/>
        <v>0</v>
      </c>
      <c r="BF10" s="15">
        <f t="shared" si="2"/>
        <v>0</v>
      </c>
      <c r="BG10" s="15">
        <f t="shared" si="2"/>
        <v>0</v>
      </c>
      <c r="BH10" s="15">
        <f t="shared" si="2"/>
        <v>0</v>
      </c>
      <c r="BI10" s="15">
        <f t="shared" si="2"/>
        <v>0</v>
      </c>
      <c r="BJ10" s="15">
        <f t="shared" si="2"/>
        <v>0</v>
      </c>
      <c r="BK10" s="15">
        <f t="shared" ref="BK10" si="3">SUM(BK11+BK13+BK17+BK31+BK33+BK38+BK40)</f>
        <v>0</v>
      </c>
      <c r="BL10" s="15">
        <f t="shared" si="2"/>
        <v>0</v>
      </c>
      <c r="BM10" s="15">
        <f t="shared" si="2"/>
        <v>0</v>
      </c>
      <c r="BN10" s="15">
        <f t="shared" si="2"/>
        <v>0</v>
      </c>
      <c r="BO10" s="15">
        <f t="shared" si="2"/>
        <v>4729809</v>
      </c>
      <c r="BP10" s="15">
        <f t="shared" si="2"/>
        <v>0</v>
      </c>
      <c r="BQ10" s="15">
        <f t="shared" si="2"/>
        <v>0</v>
      </c>
      <c r="BR10" s="15">
        <f t="shared" ref="BR10:CS10" si="4">SUM(BR11+BR13+BR17+BR31+BR33+BR38+BR40)</f>
        <v>10670</v>
      </c>
      <c r="BS10" s="15">
        <f t="shared" si="4"/>
        <v>0</v>
      </c>
      <c r="BT10" s="15">
        <f t="shared" si="4"/>
        <v>0</v>
      </c>
      <c r="BU10" s="15">
        <f t="shared" si="4"/>
        <v>0</v>
      </c>
      <c r="BV10" s="15">
        <f t="shared" si="4"/>
        <v>0</v>
      </c>
      <c r="BW10" s="15">
        <f t="shared" si="4"/>
        <v>0</v>
      </c>
      <c r="BX10" s="15">
        <f t="shared" si="4"/>
        <v>0</v>
      </c>
      <c r="BY10" s="15">
        <f t="shared" si="4"/>
        <v>4509139</v>
      </c>
      <c r="BZ10" s="15">
        <f t="shared" si="4"/>
        <v>210000</v>
      </c>
      <c r="CA10" s="15">
        <f t="shared" si="4"/>
        <v>14644932</v>
      </c>
      <c r="CB10" s="15">
        <f t="shared" si="4"/>
        <v>14644932</v>
      </c>
      <c r="CC10" s="15">
        <f t="shared" si="4"/>
        <v>7479306</v>
      </c>
      <c r="CD10" s="15">
        <f t="shared" si="4"/>
        <v>0</v>
      </c>
      <c r="CE10" s="15">
        <f t="shared" si="4"/>
        <v>7479306</v>
      </c>
      <c r="CF10" s="15">
        <f>SUM(CF11+CF13+CF17+CF31+CF33+CF38+CF40)</f>
        <v>2426465</v>
      </c>
      <c r="CG10" s="15">
        <f t="shared" si="4"/>
        <v>1921000</v>
      </c>
      <c r="CH10" s="15">
        <f t="shared" si="4"/>
        <v>0</v>
      </c>
      <c r="CI10" s="15">
        <f t="shared" si="4"/>
        <v>505465</v>
      </c>
      <c r="CJ10" s="15">
        <f t="shared" si="4"/>
        <v>0</v>
      </c>
      <c r="CK10" s="15">
        <f t="shared" si="4"/>
        <v>0</v>
      </c>
      <c r="CL10" s="15">
        <f t="shared" si="4"/>
        <v>4739161</v>
      </c>
      <c r="CM10" s="15">
        <f t="shared" si="4"/>
        <v>0</v>
      </c>
      <c r="CN10" s="15">
        <f t="shared" si="4"/>
        <v>0</v>
      </c>
      <c r="CO10" s="15">
        <f t="shared" si="4"/>
        <v>4739161</v>
      </c>
      <c r="CP10" s="15">
        <f t="shared" si="4"/>
        <v>0</v>
      </c>
      <c r="CQ10" s="15">
        <f t="shared" si="4"/>
        <v>0</v>
      </c>
      <c r="CR10" s="15">
        <f t="shared" si="4"/>
        <v>0</v>
      </c>
      <c r="CS10" s="15">
        <f t="shared" si="4"/>
        <v>0</v>
      </c>
      <c r="CT10" s="15">
        <f>SUM(CT11+CT13+CT17+CT31+CT33+CT38+CT40)</f>
        <v>0</v>
      </c>
      <c r="CU10" s="15"/>
      <c r="CV10" s="15"/>
      <c r="CW10" s="15"/>
      <c r="CX10" s="15">
        <f>SUM(CX11+CX13+CX17+CX31+CX33+CX38+CX40)</f>
        <v>0</v>
      </c>
      <c r="CY10" s="15">
        <f>SUM(CY11+CY13+CY17+CY31+CY33+CY38+CY40)</f>
        <v>0</v>
      </c>
      <c r="CZ10" s="15">
        <f>SUM(CZ11+CZ13+CZ17+CZ31+CZ33+CZ38+CZ40)</f>
        <v>0</v>
      </c>
      <c r="DA10" s="54">
        <f>SUM(DA11+DA13+DA17+DA31+DA33+DA38+DA40)</f>
        <v>0</v>
      </c>
      <c r="DB10" s="85"/>
    </row>
    <row r="11" spans="1:109" s="86" customFormat="1" ht="31.5" x14ac:dyDescent="0.25">
      <c r="A11" s="71" t="s">
        <v>67</v>
      </c>
      <c r="B11" s="16" t="s">
        <v>1</v>
      </c>
      <c r="C11" s="17" t="s">
        <v>68</v>
      </c>
      <c r="D11" s="18">
        <f>SUM(D12)</f>
        <v>34836323</v>
      </c>
      <c r="E11" s="18">
        <f t="shared" ref="E11:BU11" si="5">SUM(E12)</f>
        <v>32855803</v>
      </c>
      <c r="F11" s="18">
        <f t="shared" si="5"/>
        <v>32823981</v>
      </c>
      <c r="G11" s="18">
        <f>G12</f>
        <v>13999081</v>
      </c>
      <c r="H11" s="18">
        <f>H12</f>
        <v>3402045</v>
      </c>
      <c r="I11" s="18">
        <f t="shared" si="5"/>
        <v>2710378</v>
      </c>
      <c r="J11" s="18">
        <f t="shared" si="5"/>
        <v>0</v>
      </c>
      <c r="K11" s="18">
        <f t="shared" si="5"/>
        <v>32000</v>
      </c>
      <c r="L11" s="18">
        <f t="shared" si="5"/>
        <v>0</v>
      </c>
      <c r="M11" s="18">
        <f t="shared" si="5"/>
        <v>0</v>
      </c>
      <c r="N11" s="18">
        <f t="shared" si="5"/>
        <v>1845858</v>
      </c>
      <c r="O11" s="18">
        <f t="shared" si="5"/>
        <v>832520</v>
      </c>
      <c r="P11" s="18">
        <f t="shared" si="5"/>
        <v>633606</v>
      </c>
      <c r="Q11" s="18">
        <f t="shared" si="5"/>
        <v>856</v>
      </c>
      <c r="R11" s="18">
        <f t="shared" si="5"/>
        <v>632750</v>
      </c>
      <c r="S11" s="18">
        <f t="shared" si="5"/>
        <v>0</v>
      </c>
      <c r="T11" s="18">
        <f t="shared" si="5"/>
        <v>352181</v>
      </c>
      <c r="U11" s="18">
        <f t="shared" si="5"/>
        <v>770367</v>
      </c>
      <c r="V11" s="18">
        <f t="shared" si="5"/>
        <v>341835</v>
      </c>
      <c r="W11" s="18">
        <f t="shared" si="5"/>
        <v>87910</v>
      </c>
      <c r="X11" s="18">
        <f t="shared" si="5"/>
        <v>235579</v>
      </c>
      <c r="Y11" s="18">
        <f t="shared" si="5"/>
        <v>35953</v>
      </c>
      <c r="Z11" s="18">
        <f t="shared" si="5"/>
        <v>33885</v>
      </c>
      <c r="AA11" s="18">
        <f t="shared" si="5"/>
        <v>0</v>
      </c>
      <c r="AB11" s="18">
        <f t="shared" si="5"/>
        <v>0</v>
      </c>
      <c r="AC11" s="18">
        <f t="shared" si="5"/>
        <v>35205</v>
      </c>
      <c r="AD11" s="18">
        <f t="shared" si="5"/>
        <v>0</v>
      </c>
      <c r="AE11" s="18">
        <f t="shared" si="5"/>
        <v>10956323</v>
      </c>
      <c r="AF11" s="18">
        <f t="shared" si="5"/>
        <v>0</v>
      </c>
      <c r="AG11" s="18">
        <f t="shared" si="5"/>
        <v>0</v>
      </c>
      <c r="AH11" s="18">
        <f t="shared" si="5"/>
        <v>65500</v>
      </c>
      <c r="AI11" s="18">
        <f t="shared" si="5"/>
        <v>242100</v>
      </c>
      <c r="AJ11" s="18">
        <f t="shared" si="5"/>
        <v>0</v>
      </c>
      <c r="AK11" s="18">
        <f t="shared" si="5"/>
        <v>25455</v>
      </c>
      <c r="AL11" s="18">
        <f t="shared" si="5"/>
        <v>1000574</v>
      </c>
      <c r="AM11" s="18">
        <f t="shared" si="5"/>
        <v>15000</v>
      </c>
      <c r="AN11" s="18">
        <f t="shared" si="5"/>
        <v>310000</v>
      </c>
      <c r="AO11" s="18">
        <f t="shared" si="5"/>
        <v>5382939</v>
      </c>
      <c r="AP11" s="18">
        <f t="shared" si="5"/>
        <v>7326</v>
      </c>
      <c r="AQ11" s="18"/>
      <c r="AR11" s="18">
        <f t="shared" si="5"/>
        <v>0</v>
      </c>
      <c r="AS11" s="18">
        <f t="shared" si="5"/>
        <v>0</v>
      </c>
      <c r="AT11" s="18">
        <f t="shared" si="5"/>
        <v>13574</v>
      </c>
      <c r="AU11" s="18"/>
      <c r="AV11" s="18"/>
      <c r="AW11" s="18">
        <f t="shared" si="5"/>
        <v>0</v>
      </c>
      <c r="AX11" s="18">
        <f t="shared" si="5"/>
        <v>0</v>
      </c>
      <c r="AY11" s="18">
        <f t="shared" si="5"/>
        <v>0</v>
      </c>
      <c r="AZ11" s="18"/>
      <c r="BA11" s="18">
        <f t="shared" si="5"/>
        <v>3893855</v>
      </c>
      <c r="BB11" s="18">
        <f t="shared" si="5"/>
        <v>31822</v>
      </c>
      <c r="BC11" s="18">
        <f t="shared" si="5"/>
        <v>0</v>
      </c>
      <c r="BD11" s="18">
        <f t="shared" si="5"/>
        <v>0</v>
      </c>
      <c r="BE11" s="18">
        <f t="shared" si="5"/>
        <v>0</v>
      </c>
      <c r="BF11" s="18">
        <f t="shared" si="5"/>
        <v>0</v>
      </c>
      <c r="BG11" s="18">
        <f t="shared" si="5"/>
        <v>0</v>
      </c>
      <c r="BH11" s="18">
        <f t="shared" si="5"/>
        <v>0</v>
      </c>
      <c r="BI11" s="18">
        <f t="shared" si="5"/>
        <v>0</v>
      </c>
      <c r="BJ11" s="18">
        <f t="shared" si="5"/>
        <v>0</v>
      </c>
      <c r="BK11" s="18">
        <f t="shared" si="5"/>
        <v>0</v>
      </c>
      <c r="BL11" s="18">
        <f t="shared" si="5"/>
        <v>0</v>
      </c>
      <c r="BM11" s="18">
        <f t="shared" si="5"/>
        <v>0</v>
      </c>
      <c r="BN11" s="18">
        <f t="shared" si="5"/>
        <v>0</v>
      </c>
      <c r="BO11" s="18">
        <f t="shared" si="5"/>
        <v>31822</v>
      </c>
      <c r="BP11" s="18">
        <f t="shared" si="5"/>
        <v>0</v>
      </c>
      <c r="BQ11" s="18">
        <f t="shared" si="5"/>
        <v>0</v>
      </c>
      <c r="BR11" s="18">
        <f t="shared" si="5"/>
        <v>0</v>
      </c>
      <c r="BS11" s="18">
        <f t="shared" si="5"/>
        <v>0</v>
      </c>
      <c r="BT11" s="18">
        <f t="shared" si="5"/>
        <v>0</v>
      </c>
      <c r="BU11" s="18">
        <f t="shared" si="5"/>
        <v>0</v>
      </c>
      <c r="BV11" s="18">
        <f t="shared" ref="BV11:DA11" si="6">SUM(BV12)</f>
        <v>0</v>
      </c>
      <c r="BW11" s="18">
        <f t="shared" si="6"/>
        <v>0</v>
      </c>
      <c r="BX11" s="18">
        <f t="shared" si="6"/>
        <v>0</v>
      </c>
      <c r="BY11" s="18">
        <f t="shared" si="6"/>
        <v>31822</v>
      </c>
      <c r="BZ11" s="18">
        <f t="shared" si="6"/>
        <v>0</v>
      </c>
      <c r="CA11" s="18">
        <f t="shared" si="6"/>
        <v>1980520</v>
      </c>
      <c r="CB11" s="18">
        <f t="shared" si="6"/>
        <v>1980520</v>
      </c>
      <c r="CC11" s="18">
        <f t="shared" si="6"/>
        <v>1025520</v>
      </c>
      <c r="CD11" s="18">
        <f t="shared" si="6"/>
        <v>0</v>
      </c>
      <c r="CE11" s="18">
        <f t="shared" si="6"/>
        <v>1025520</v>
      </c>
      <c r="CF11" s="18">
        <f t="shared" si="6"/>
        <v>955000</v>
      </c>
      <c r="CG11" s="18">
        <f t="shared" si="6"/>
        <v>955000</v>
      </c>
      <c r="CH11" s="18">
        <f t="shared" si="6"/>
        <v>0</v>
      </c>
      <c r="CI11" s="18">
        <f t="shared" si="6"/>
        <v>0</v>
      </c>
      <c r="CJ11" s="18">
        <f t="shared" si="6"/>
        <v>0</v>
      </c>
      <c r="CK11" s="18">
        <f t="shared" si="6"/>
        <v>0</v>
      </c>
      <c r="CL11" s="18">
        <f t="shared" si="6"/>
        <v>0</v>
      </c>
      <c r="CM11" s="18">
        <f t="shared" si="6"/>
        <v>0</v>
      </c>
      <c r="CN11" s="18">
        <f t="shared" si="6"/>
        <v>0</v>
      </c>
      <c r="CO11" s="18">
        <f t="shared" si="6"/>
        <v>0</v>
      </c>
      <c r="CP11" s="18"/>
      <c r="CQ11" s="18"/>
      <c r="CR11" s="18"/>
      <c r="CS11" s="18"/>
      <c r="CT11" s="18">
        <f t="shared" si="6"/>
        <v>0</v>
      </c>
      <c r="CU11" s="18"/>
      <c r="CV11" s="18"/>
      <c r="CW11" s="18"/>
      <c r="CX11" s="18">
        <f t="shared" si="6"/>
        <v>0</v>
      </c>
      <c r="CY11" s="18">
        <f t="shared" si="6"/>
        <v>0</v>
      </c>
      <c r="CZ11" s="18">
        <f t="shared" si="6"/>
        <v>0</v>
      </c>
      <c r="DA11" s="46">
        <f t="shared" si="6"/>
        <v>0</v>
      </c>
      <c r="DB11" s="85"/>
    </row>
    <row r="12" spans="1:109" ht="15.75" x14ac:dyDescent="0.25">
      <c r="A12" s="72" t="s">
        <v>1</v>
      </c>
      <c r="B12" s="21" t="s">
        <v>69</v>
      </c>
      <c r="C12" s="22" t="s">
        <v>70</v>
      </c>
      <c r="D12" s="18">
        <f>SUM(E12+CA12+CX12)</f>
        <v>34836323</v>
      </c>
      <c r="E12" s="19">
        <f>SUM(F12+BB12)</f>
        <v>32855803</v>
      </c>
      <c r="F12" s="19">
        <f>SUM(G12+H12+I12+P12+S12+T12+U12+AE12)</f>
        <v>32823981</v>
      </c>
      <c r="G12" s="23">
        <v>13999081</v>
      </c>
      <c r="H12" s="23">
        <v>3402045</v>
      </c>
      <c r="I12" s="19">
        <f t="shared" ref="I12:I68" si="7">SUM(J12:O12)</f>
        <v>2710378</v>
      </c>
      <c r="J12" s="19">
        <v>0</v>
      </c>
      <c r="K12" s="23">
        <v>32000</v>
      </c>
      <c r="L12" s="23">
        <v>0</v>
      </c>
      <c r="M12" s="23">
        <v>0</v>
      </c>
      <c r="N12" s="23">
        <f>3345858-1500000</f>
        <v>1845858</v>
      </c>
      <c r="O12" s="23">
        <v>832520</v>
      </c>
      <c r="P12" s="19">
        <f t="shared" ref="P12:P68" si="8">SUM(Q12:R12)</f>
        <v>633606</v>
      </c>
      <c r="Q12" s="19">
        <v>856</v>
      </c>
      <c r="R12" s="19">
        <v>632750</v>
      </c>
      <c r="S12" s="19">
        <v>0</v>
      </c>
      <c r="T12" s="19">
        <f>852181-500000</f>
        <v>352181</v>
      </c>
      <c r="U12" s="19">
        <f>SUM(V12:AC12)</f>
        <v>770367</v>
      </c>
      <c r="V12" s="23">
        <v>341835</v>
      </c>
      <c r="W12" s="23">
        <f>80915+6995</f>
        <v>87910</v>
      </c>
      <c r="X12" s="23">
        <f>220379+15200</f>
        <v>235579</v>
      </c>
      <c r="Y12" s="23">
        <v>35953</v>
      </c>
      <c r="Z12" s="23">
        <v>33885</v>
      </c>
      <c r="AA12" s="23">
        <v>0</v>
      </c>
      <c r="AB12" s="23">
        <v>0</v>
      </c>
      <c r="AC12" s="23">
        <v>35205</v>
      </c>
      <c r="AD12" s="19">
        <v>0</v>
      </c>
      <c r="AE12" s="19">
        <f>SUM(AF12:BA12)</f>
        <v>10956323</v>
      </c>
      <c r="AF12" s="19">
        <v>0</v>
      </c>
      <c r="AG12" s="19">
        <v>0</v>
      </c>
      <c r="AH12" s="23">
        <v>65500</v>
      </c>
      <c r="AI12" s="23">
        <f>542100-300000</f>
        <v>242100</v>
      </c>
      <c r="AJ12" s="23">
        <v>0</v>
      </c>
      <c r="AK12" s="23">
        <v>25455</v>
      </c>
      <c r="AL12" s="23">
        <v>1000574</v>
      </c>
      <c r="AM12" s="23">
        <v>15000</v>
      </c>
      <c r="AN12" s="23">
        <v>310000</v>
      </c>
      <c r="AO12" s="23">
        <v>5382939</v>
      </c>
      <c r="AP12" s="23">
        <v>7326</v>
      </c>
      <c r="AQ12" s="23"/>
      <c r="AR12" s="23">
        <v>0</v>
      </c>
      <c r="AS12" s="23">
        <v>0</v>
      </c>
      <c r="AT12" s="23">
        <v>13574</v>
      </c>
      <c r="AU12" s="23">
        <v>0</v>
      </c>
      <c r="AV12" s="23">
        <v>0</v>
      </c>
      <c r="AW12" s="23">
        <v>0</v>
      </c>
      <c r="AX12" s="23">
        <v>0</v>
      </c>
      <c r="AY12" s="23">
        <v>0</v>
      </c>
      <c r="AZ12" s="23">
        <v>0</v>
      </c>
      <c r="BA12" s="23">
        <f>3916050-22195</f>
        <v>3893855</v>
      </c>
      <c r="BB12" s="19">
        <f>SUM(BC12+BG12+BJ12+BL12+BO12)</f>
        <v>31822</v>
      </c>
      <c r="BC12" s="19">
        <f>SUM(BD12:BF12)</f>
        <v>0</v>
      </c>
      <c r="BD12" s="19">
        <v>0</v>
      </c>
      <c r="BE12" s="19">
        <v>0</v>
      </c>
      <c r="BF12" s="19">
        <v>0</v>
      </c>
      <c r="BG12" s="19">
        <f>SUM(BI12:BI12)</f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f t="shared" ref="BL12:BL68" si="9">SUM(BM12)</f>
        <v>0</v>
      </c>
      <c r="BM12" s="19">
        <v>0</v>
      </c>
      <c r="BN12" s="19">
        <v>0</v>
      </c>
      <c r="BO12" s="19">
        <f>SUM(BP12:BZ12)</f>
        <v>31822</v>
      </c>
      <c r="BP12" s="19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  <c r="BV12" s="19">
        <v>0</v>
      </c>
      <c r="BW12" s="19">
        <v>0</v>
      </c>
      <c r="BX12" s="19">
        <v>0</v>
      </c>
      <c r="BY12" s="19">
        <v>31822</v>
      </c>
      <c r="BZ12" s="19">
        <v>0</v>
      </c>
      <c r="CA12" s="19">
        <f>SUM(CB12+CT12)</f>
        <v>1980520</v>
      </c>
      <c r="CB12" s="19">
        <f>SUM(CC12+CF12+CL12)</f>
        <v>1980520</v>
      </c>
      <c r="CC12" s="19">
        <f t="shared" ref="CC12:CC68" si="10">SUM(CD12:CE12)</f>
        <v>1025520</v>
      </c>
      <c r="CD12" s="19">
        <v>0</v>
      </c>
      <c r="CE12" s="19">
        <v>1025520</v>
      </c>
      <c r="CF12" s="19">
        <f>SUM(CG12:CK12)</f>
        <v>955000</v>
      </c>
      <c r="CG12" s="19">
        <v>955000</v>
      </c>
      <c r="CH12" s="19">
        <v>0</v>
      </c>
      <c r="CI12" s="19">
        <v>0</v>
      </c>
      <c r="CJ12" s="19">
        <v>0</v>
      </c>
      <c r="CK12" s="19">
        <v>0</v>
      </c>
      <c r="CL12" s="19">
        <f>SUM(CM12:CQ12)</f>
        <v>0</v>
      </c>
      <c r="CM12" s="19"/>
      <c r="CN12" s="19"/>
      <c r="CO12" s="19">
        <f>585000-585000</f>
        <v>0</v>
      </c>
      <c r="CP12" s="19"/>
      <c r="CQ12" s="19"/>
      <c r="CR12" s="19"/>
      <c r="CS12" s="19"/>
      <c r="CT12" s="19">
        <v>0</v>
      </c>
      <c r="CU12" s="19"/>
      <c r="CV12" s="19"/>
      <c r="CW12" s="19"/>
      <c r="CX12" s="19">
        <f t="shared" ref="CX12:CX68" si="11">SUM(CY12)</f>
        <v>0</v>
      </c>
      <c r="CY12" s="19">
        <f t="shared" ref="CY12:CY68" si="12">SUM(CZ12:DA12)</f>
        <v>0</v>
      </c>
      <c r="CZ12" s="19">
        <v>0</v>
      </c>
      <c r="DA12" s="20">
        <v>0</v>
      </c>
    </row>
    <row r="13" spans="1:109" s="86" customFormat="1" ht="31.5" x14ac:dyDescent="0.25">
      <c r="A13" s="71" t="s">
        <v>71</v>
      </c>
      <c r="B13" s="16" t="s">
        <v>1</v>
      </c>
      <c r="C13" s="17" t="s">
        <v>72</v>
      </c>
      <c r="D13" s="18">
        <f>SUM(D14:D16)</f>
        <v>48523621</v>
      </c>
      <c r="E13" s="18">
        <f t="shared" ref="E13:BU13" si="13">SUM(E14:E16)</f>
        <v>45110398</v>
      </c>
      <c r="F13" s="18">
        <f t="shared" si="13"/>
        <v>43007072</v>
      </c>
      <c r="G13" s="18">
        <f t="shared" si="13"/>
        <v>26971021</v>
      </c>
      <c r="H13" s="18">
        <f t="shared" si="13"/>
        <v>6528022</v>
      </c>
      <c r="I13" s="18">
        <f t="shared" si="13"/>
        <v>3357365</v>
      </c>
      <c r="J13" s="18">
        <f t="shared" si="13"/>
        <v>0</v>
      </c>
      <c r="K13" s="18">
        <f t="shared" si="13"/>
        <v>0</v>
      </c>
      <c r="L13" s="18">
        <f t="shared" si="13"/>
        <v>0</v>
      </c>
      <c r="M13" s="18">
        <f t="shared" si="13"/>
        <v>0</v>
      </c>
      <c r="N13" s="18">
        <f t="shared" si="13"/>
        <v>2473362</v>
      </c>
      <c r="O13" s="18">
        <f t="shared" si="13"/>
        <v>884003</v>
      </c>
      <c r="P13" s="18">
        <f t="shared" si="13"/>
        <v>652741</v>
      </c>
      <c r="Q13" s="18">
        <f t="shared" si="13"/>
        <v>0</v>
      </c>
      <c r="R13" s="18">
        <f t="shared" si="13"/>
        <v>652741</v>
      </c>
      <c r="S13" s="18">
        <f t="shared" si="13"/>
        <v>0</v>
      </c>
      <c r="T13" s="18">
        <f t="shared" si="13"/>
        <v>580359</v>
      </c>
      <c r="U13" s="18">
        <f t="shared" si="13"/>
        <v>142342</v>
      </c>
      <c r="V13" s="18">
        <f t="shared" si="13"/>
        <v>54351</v>
      </c>
      <c r="W13" s="18">
        <f t="shared" si="13"/>
        <v>20996</v>
      </c>
      <c r="X13" s="18">
        <f t="shared" si="13"/>
        <v>38526</v>
      </c>
      <c r="Y13" s="18">
        <f t="shared" si="13"/>
        <v>11241</v>
      </c>
      <c r="Z13" s="18">
        <f t="shared" si="13"/>
        <v>6204</v>
      </c>
      <c r="AA13" s="18">
        <f t="shared" si="13"/>
        <v>0</v>
      </c>
      <c r="AB13" s="18">
        <f t="shared" si="13"/>
        <v>0</v>
      </c>
      <c r="AC13" s="18">
        <f t="shared" si="13"/>
        <v>11024</v>
      </c>
      <c r="AD13" s="18">
        <f t="shared" ref="AD13" si="14">SUM(AD14:AD16)</f>
        <v>0</v>
      </c>
      <c r="AE13" s="18">
        <f t="shared" si="13"/>
        <v>4775222</v>
      </c>
      <c r="AF13" s="18">
        <f t="shared" si="13"/>
        <v>0</v>
      </c>
      <c r="AG13" s="18">
        <f t="shared" si="13"/>
        <v>0</v>
      </c>
      <c r="AH13" s="18">
        <f t="shared" si="13"/>
        <v>88337</v>
      </c>
      <c r="AI13" s="18">
        <f t="shared" si="13"/>
        <v>592126</v>
      </c>
      <c r="AJ13" s="18">
        <f t="shared" si="13"/>
        <v>0</v>
      </c>
      <c r="AK13" s="18">
        <f t="shared" si="13"/>
        <v>55680</v>
      </c>
      <c r="AL13" s="18">
        <f t="shared" si="13"/>
        <v>16524</v>
      </c>
      <c r="AM13" s="18">
        <f t="shared" si="13"/>
        <v>174897</v>
      </c>
      <c r="AN13" s="18">
        <f t="shared" si="13"/>
        <v>60876</v>
      </c>
      <c r="AO13" s="18">
        <f t="shared" si="13"/>
        <v>1821246</v>
      </c>
      <c r="AP13" s="18">
        <f t="shared" si="13"/>
        <v>0</v>
      </c>
      <c r="AQ13" s="18"/>
      <c r="AR13" s="18">
        <f t="shared" si="13"/>
        <v>0</v>
      </c>
      <c r="AS13" s="18">
        <f t="shared" si="13"/>
        <v>100868</v>
      </c>
      <c r="AT13" s="18">
        <f t="shared" si="13"/>
        <v>48734</v>
      </c>
      <c r="AU13" s="18"/>
      <c r="AV13" s="18"/>
      <c r="AW13" s="18">
        <f t="shared" si="13"/>
        <v>0</v>
      </c>
      <c r="AX13" s="18">
        <f t="shared" si="13"/>
        <v>0</v>
      </c>
      <c r="AY13" s="18">
        <f t="shared" si="13"/>
        <v>98520</v>
      </c>
      <c r="AZ13" s="18"/>
      <c r="BA13" s="18">
        <f t="shared" si="13"/>
        <v>1717414</v>
      </c>
      <c r="BB13" s="18">
        <f t="shared" si="13"/>
        <v>2103326</v>
      </c>
      <c r="BC13" s="18">
        <f t="shared" si="13"/>
        <v>0</v>
      </c>
      <c r="BD13" s="18">
        <f t="shared" si="13"/>
        <v>0</v>
      </c>
      <c r="BE13" s="18">
        <f t="shared" si="13"/>
        <v>0</v>
      </c>
      <c r="BF13" s="18">
        <f t="shared" si="13"/>
        <v>0</v>
      </c>
      <c r="BG13" s="18">
        <f t="shared" si="13"/>
        <v>0</v>
      </c>
      <c r="BH13" s="18">
        <f t="shared" si="13"/>
        <v>0</v>
      </c>
      <c r="BI13" s="18">
        <f t="shared" si="13"/>
        <v>0</v>
      </c>
      <c r="BJ13" s="18">
        <f t="shared" si="13"/>
        <v>0</v>
      </c>
      <c r="BK13" s="18">
        <f t="shared" ref="BK13" si="15">SUM(BK14:BK16)</f>
        <v>0</v>
      </c>
      <c r="BL13" s="18">
        <f t="shared" si="13"/>
        <v>0</v>
      </c>
      <c r="BM13" s="18">
        <f t="shared" si="13"/>
        <v>0</v>
      </c>
      <c r="BN13" s="18">
        <f t="shared" ref="BN13" si="16">SUM(BN14:BN16)</f>
        <v>0</v>
      </c>
      <c r="BO13" s="18">
        <f t="shared" si="13"/>
        <v>2103326</v>
      </c>
      <c r="BP13" s="18">
        <f t="shared" si="13"/>
        <v>0</v>
      </c>
      <c r="BQ13" s="18">
        <f t="shared" si="13"/>
        <v>0</v>
      </c>
      <c r="BR13" s="18">
        <f t="shared" si="13"/>
        <v>0</v>
      </c>
      <c r="BS13" s="18">
        <f t="shared" si="13"/>
        <v>0</v>
      </c>
      <c r="BT13" s="18">
        <f t="shared" si="13"/>
        <v>0</v>
      </c>
      <c r="BU13" s="18">
        <f t="shared" si="13"/>
        <v>0</v>
      </c>
      <c r="BV13" s="18">
        <f t="shared" ref="BV13:DA13" si="17">SUM(BV14:BV16)</f>
        <v>0</v>
      </c>
      <c r="BW13" s="18">
        <f t="shared" si="17"/>
        <v>0</v>
      </c>
      <c r="BX13" s="18">
        <f t="shared" si="17"/>
        <v>0</v>
      </c>
      <c r="BY13" s="18">
        <f t="shared" si="17"/>
        <v>1893326</v>
      </c>
      <c r="BZ13" s="18">
        <f t="shared" si="17"/>
        <v>210000</v>
      </c>
      <c r="CA13" s="18">
        <f t="shared" si="17"/>
        <v>3413223</v>
      </c>
      <c r="CB13" s="18">
        <f t="shared" si="17"/>
        <v>3413223</v>
      </c>
      <c r="CC13" s="18">
        <f t="shared" si="17"/>
        <v>2157223</v>
      </c>
      <c r="CD13" s="18">
        <f t="shared" si="17"/>
        <v>0</v>
      </c>
      <c r="CE13" s="18">
        <f t="shared" si="17"/>
        <v>2157223</v>
      </c>
      <c r="CF13" s="18">
        <f t="shared" si="17"/>
        <v>966000</v>
      </c>
      <c r="CG13" s="18">
        <f t="shared" si="17"/>
        <v>966000</v>
      </c>
      <c r="CH13" s="18">
        <f t="shared" ref="CH13:CI13" si="18">SUM(CH14:CH16)</f>
        <v>0</v>
      </c>
      <c r="CI13" s="18">
        <f t="shared" si="18"/>
        <v>0</v>
      </c>
      <c r="CJ13" s="18">
        <f t="shared" si="17"/>
        <v>0</v>
      </c>
      <c r="CK13" s="18">
        <f t="shared" ref="CK13" si="19">SUM(CK14:CK16)</f>
        <v>0</v>
      </c>
      <c r="CL13" s="18">
        <f t="shared" si="17"/>
        <v>290000</v>
      </c>
      <c r="CM13" s="18">
        <f t="shared" si="17"/>
        <v>0</v>
      </c>
      <c r="CN13" s="18">
        <f t="shared" ref="CN13" si="20">SUM(CN14:CN16)</f>
        <v>0</v>
      </c>
      <c r="CO13" s="18">
        <f t="shared" si="17"/>
        <v>290000</v>
      </c>
      <c r="CP13" s="18"/>
      <c r="CQ13" s="18"/>
      <c r="CR13" s="18"/>
      <c r="CS13" s="18"/>
      <c r="CT13" s="18">
        <f t="shared" si="17"/>
        <v>0</v>
      </c>
      <c r="CU13" s="18"/>
      <c r="CV13" s="18"/>
      <c r="CW13" s="18"/>
      <c r="CX13" s="18">
        <f t="shared" si="17"/>
        <v>0</v>
      </c>
      <c r="CY13" s="18">
        <f t="shared" si="17"/>
        <v>0</v>
      </c>
      <c r="CZ13" s="18">
        <f t="shared" si="17"/>
        <v>0</v>
      </c>
      <c r="DA13" s="46">
        <f t="shared" si="17"/>
        <v>0</v>
      </c>
      <c r="DB13" s="85"/>
    </row>
    <row r="14" spans="1:109" ht="15.75" x14ac:dyDescent="0.25">
      <c r="A14" s="72" t="s">
        <v>1</v>
      </c>
      <c r="B14" s="21" t="s">
        <v>73</v>
      </c>
      <c r="C14" s="22" t="s">
        <v>74</v>
      </c>
      <c r="D14" s="18">
        <f>SUM(E14+CA14+CX14)</f>
        <v>33425576</v>
      </c>
      <c r="E14" s="19">
        <f>SUM(F14+BB14)</f>
        <v>31233860</v>
      </c>
      <c r="F14" s="19">
        <f t="shared" ref="F14:F16" si="21">SUM(G14+H14+I14+P14+S14+T14+U14+AE14)</f>
        <v>29355294</v>
      </c>
      <c r="G14" s="23">
        <v>17324052</v>
      </c>
      <c r="H14" s="23">
        <v>4193674</v>
      </c>
      <c r="I14" s="19">
        <f t="shared" si="7"/>
        <v>2453862</v>
      </c>
      <c r="J14" s="24"/>
      <c r="K14" s="24"/>
      <c r="L14" s="24"/>
      <c r="M14" s="24"/>
      <c r="N14" s="23">
        <v>1841004</v>
      </c>
      <c r="O14" s="23">
        <v>612858</v>
      </c>
      <c r="P14" s="19">
        <f t="shared" si="8"/>
        <v>640000</v>
      </c>
      <c r="Q14" s="24">
        <v>0</v>
      </c>
      <c r="R14" s="24">
        <v>640000</v>
      </c>
      <c r="S14" s="24">
        <v>0</v>
      </c>
      <c r="T14" s="23">
        <v>451111</v>
      </c>
      <c r="U14" s="19">
        <f>SUM(V14:AC14)</f>
        <v>20226</v>
      </c>
      <c r="V14" s="23">
        <v>15193</v>
      </c>
      <c r="W14" s="23">
        <f>1423</f>
        <v>1423</v>
      </c>
      <c r="X14" s="23">
        <v>1848</v>
      </c>
      <c r="Y14" s="23">
        <v>791</v>
      </c>
      <c r="Z14" s="23">
        <v>459</v>
      </c>
      <c r="AA14" s="23">
        <v>0</v>
      </c>
      <c r="AB14" s="23">
        <v>0</v>
      </c>
      <c r="AC14" s="23">
        <v>512</v>
      </c>
      <c r="AD14" s="24">
        <v>0</v>
      </c>
      <c r="AE14" s="19">
        <f>SUM(AF14:BA14)</f>
        <v>4272369</v>
      </c>
      <c r="AF14" s="24">
        <v>0</v>
      </c>
      <c r="AG14" s="24">
        <v>0</v>
      </c>
      <c r="AH14" s="23">
        <v>70050</v>
      </c>
      <c r="AI14" s="23">
        <v>500000</v>
      </c>
      <c r="AJ14" s="23">
        <v>0</v>
      </c>
      <c r="AK14" s="23">
        <v>13992</v>
      </c>
      <c r="AL14" s="23">
        <v>14324</v>
      </c>
      <c r="AM14" s="23">
        <v>173954</v>
      </c>
      <c r="AN14" s="23">
        <v>52920</v>
      </c>
      <c r="AO14" s="23">
        <v>1704033</v>
      </c>
      <c r="AP14" s="23">
        <v>0</v>
      </c>
      <c r="AQ14" s="23"/>
      <c r="AR14" s="23">
        <v>0</v>
      </c>
      <c r="AS14" s="23">
        <v>17775</v>
      </c>
      <c r="AT14" s="23">
        <v>16692</v>
      </c>
      <c r="AU14" s="23">
        <v>0</v>
      </c>
      <c r="AV14" s="23">
        <v>0</v>
      </c>
      <c r="AW14" s="23">
        <v>0</v>
      </c>
      <c r="AX14" s="23">
        <v>0</v>
      </c>
      <c r="AY14" s="23">
        <v>0</v>
      </c>
      <c r="AZ14" s="23">
        <v>0</v>
      </c>
      <c r="BA14" s="23">
        <v>1708629</v>
      </c>
      <c r="BB14" s="19">
        <f>SUM(BC14+BG14+BJ14+BL14+BO14)</f>
        <v>1878566</v>
      </c>
      <c r="BC14" s="19">
        <f>SUM(BD14:BF14)</f>
        <v>0</v>
      </c>
      <c r="BD14" s="19">
        <v>0</v>
      </c>
      <c r="BE14" s="19">
        <v>0</v>
      </c>
      <c r="BF14" s="19">
        <v>0</v>
      </c>
      <c r="BG14" s="19">
        <f>SUM(BI14:BI14)</f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f t="shared" si="9"/>
        <v>0</v>
      </c>
      <c r="BM14" s="19">
        <v>0</v>
      </c>
      <c r="BN14" s="19">
        <v>0</v>
      </c>
      <c r="BO14" s="19">
        <f>SUM(BP14:BZ14)</f>
        <v>1878566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0</v>
      </c>
      <c r="BW14" s="19">
        <v>0</v>
      </c>
      <c r="BX14" s="19">
        <v>0</v>
      </c>
      <c r="BY14" s="23">
        <v>1878566</v>
      </c>
      <c r="BZ14" s="19">
        <v>0</v>
      </c>
      <c r="CA14" s="19">
        <f>SUM(CB14+CT14)</f>
        <v>2191716</v>
      </c>
      <c r="CB14" s="19">
        <f>SUM(CC14+CF14+CL14)</f>
        <v>2191716</v>
      </c>
      <c r="CC14" s="19">
        <f t="shared" si="10"/>
        <v>1225716</v>
      </c>
      <c r="CD14" s="19">
        <v>0</v>
      </c>
      <c r="CE14" s="23">
        <v>1225716</v>
      </c>
      <c r="CF14" s="19">
        <f t="shared" ref="CF14:CF16" si="22">SUM(CG14:CK14)</f>
        <v>966000</v>
      </c>
      <c r="CG14" s="23">
        <v>966000</v>
      </c>
      <c r="CH14" s="23"/>
      <c r="CI14" s="19">
        <v>0</v>
      </c>
      <c r="CJ14" s="19">
        <v>0</v>
      </c>
      <c r="CK14" s="19">
        <v>0</v>
      </c>
      <c r="CL14" s="19">
        <f>SUM(CM14:CQ14)</f>
        <v>0</v>
      </c>
      <c r="CM14" s="19">
        <v>0</v>
      </c>
      <c r="CN14" s="19">
        <v>0</v>
      </c>
      <c r="CO14" s="19">
        <v>0</v>
      </c>
      <c r="CP14" s="19"/>
      <c r="CQ14" s="19"/>
      <c r="CR14" s="19"/>
      <c r="CS14" s="19"/>
      <c r="CT14" s="19">
        <v>0</v>
      </c>
      <c r="CU14" s="19"/>
      <c r="CV14" s="19"/>
      <c r="CW14" s="19"/>
      <c r="CX14" s="19">
        <f t="shared" si="11"/>
        <v>0</v>
      </c>
      <c r="CY14" s="19">
        <f t="shared" si="12"/>
        <v>0</v>
      </c>
      <c r="CZ14" s="19">
        <v>0</v>
      </c>
      <c r="DA14" s="20">
        <v>0</v>
      </c>
    </row>
    <row r="15" spans="1:109" ht="15.75" x14ac:dyDescent="0.25">
      <c r="A15" s="72" t="s">
        <v>1</v>
      </c>
      <c r="B15" s="21" t="s">
        <v>75</v>
      </c>
      <c r="C15" s="22" t="s">
        <v>500</v>
      </c>
      <c r="D15" s="18">
        <f>SUM(E15+CA15+CX15)</f>
        <v>12638450</v>
      </c>
      <c r="E15" s="19">
        <f>SUM(F15+BB15)</f>
        <v>11722050</v>
      </c>
      <c r="F15" s="19">
        <f t="shared" si="21"/>
        <v>11504775</v>
      </c>
      <c r="G15" s="23">
        <f>8008774+212365</f>
        <v>8221139</v>
      </c>
      <c r="H15" s="23">
        <f>1947568+54242</f>
        <v>2001810</v>
      </c>
      <c r="I15" s="19">
        <f t="shared" si="7"/>
        <v>673710</v>
      </c>
      <c r="J15" s="24"/>
      <c r="K15" s="24"/>
      <c r="L15" s="24"/>
      <c r="M15" s="24"/>
      <c r="N15" s="23">
        <f>759034-97646-200000</f>
        <v>461388</v>
      </c>
      <c r="O15" s="23">
        <v>212322</v>
      </c>
      <c r="P15" s="19">
        <f t="shared" si="8"/>
        <v>0</v>
      </c>
      <c r="Q15" s="24">
        <v>0</v>
      </c>
      <c r="R15" s="24">
        <v>0</v>
      </c>
      <c r="S15" s="24">
        <v>0</v>
      </c>
      <c r="T15" s="23">
        <f>80000-15000</f>
        <v>65000</v>
      </c>
      <c r="U15" s="19">
        <f>SUM(V15:AC15)</f>
        <v>106719</v>
      </c>
      <c r="V15" s="23">
        <f>46019-6861</f>
        <v>39158</v>
      </c>
      <c r="W15" s="23">
        <f>11704+81+1861</f>
        <v>13646</v>
      </c>
      <c r="X15" s="23">
        <v>28676</v>
      </c>
      <c r="Y15" s="23">
        <f>7584+1398</f>
        <v>8982</v>
      </c>
      <c r="Z15" s="23">
        <v>5745</v>
      </c>
      <c r="AA15" s="23">
        <v>0</v>
      </c>
      <c r="AB15" s="23">
        <v>0</v>
      </c>
      <c r="AC15" s="23">
        <v>10512</v>
      </c>
      <c r="AD15" s="24">
        <v>0</v>
      </c>
      <c r="AE15" s="19">
        <f>SUM(AF15:BA15)</f>
        <v>436397</v>
      </c>
      <c r="AF15" s="24">
        <v>0</v>
      </c>
      <c r="AG15" s="24">
        <v>0</v>
      </c>
      <c r="AH15" s="23">
        <f>14000-3000</f>
        <v>11000</v>
      </c>
      <c r="AI15" s="23">
        <v>90900</v>
      </c>
      <c r="AJ15" s="23">
        <v>0</v>
      </c>
      <c r="AK15" s="23">
        <v>41688</v>
      </c>
      <c r="AL15" s="23">
        <v>2200</v>
      </c>
      <c r="AM15" s="23">
        <f>17943-17000</f>
        <v>943</v>
      </c>
      <c r="AN15" s="23">
        <v>0</v>
      </c>
      <c r="AO15" s="23">
        <v>99600</v>
      </c>
      <c r="AP15" s="23">
        <v>0</v>
      </c>
      <c r="AQ15" s="23"/>
      <c r="AR15" s="23">
        <v>0</v>
      </c>
      <c r="AS15" s="23">
        <v>54135</v>
      </c>
      <c r="AT15" s="23">
        <v>32042</v>
      </c>
      <c r="AU15" s="23">
        <v>0</v>
      </c>
      <c r="AV15" s="23">
        <v>0</v>
      </c>
      <c r="AW15" s="23">
        <v>0</v>
      </c>
      <c r="AX15" s="23">
        <v>0</v>
      </c>
      <c r="AY15" s="23">
        <v>98520</v>
      </c>
      <c r="AZ15" s="23">
        <v>0</v>
      </c>
      <c r="BA15" s="23">
        <f>9369-4000</f>
        <v>5369</v>
      </c>
      <c r="BB15" s="19">
        <f>SUM(BC15+BG15+BJ15+BL15+BO15)</f>
        <v>217275</v>
      </c>
      <c r="BC15" s="19">
        <f>SUM(BD15:BF15)</f>
        <v>0</v>
      </c>
      <c r="BD15" s="19">
        <v>0</v>
      </c>
      <c r="BE15" s="19">
        <v>0</v>
      </c>
      <c r="BF15" s="19">
        <v>0</v>
      </c>
      <c r="BG15" s="19">
        <f>SUM(BI15:BI15)</f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f t="shared" si="9"/>
        <v>0</v>
      </c>
      <c r="BM15" s="19">
        <v>0</v>
      </c>
      <c r="BN15" s="19">
        <v>0</v>
      </c>
      <c r="BO15" s="19">
        <f>SUM(BP15:BZ15)</f>
        <v>217275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  <c r="BV15" s="19">
        <v>0</v>
      </c>
      <c r="BW15" s="19">
        <v>0</v>
      </c>
      <c r="BX15" s="19">
        <v>0</v>
      </c>
      <c r="BY15" s="23">
        <v>7275</v>
      </c>
      <c r="BZ15" s="19">
        <v>210000</v>
      </c>
      <c r="CA15" s="19">
        <f>SUM(CB15+CT15)</f>
        <v>916400</v>
      </c>
      <c r="CB15" s="19">
        <f>SUM(CC15+CF15+CL15)</f>
        <v>916400</v>
      </c>
      <c r="CC15" s="19">
        <f t="shared" si="10"/>
        <v>626400</v>
      </c>
      <c r="CD15" s="19">
        <v>0</v>
      </c>
      <c r="CE15" s="23">
        <f>724047-97647</f>
        <v>626400</v>
      </c>
      <c r="CF15" s="19">
        <f t="shared" si="22"/>
        <v>0</v>
      </c>
      <c r="CG15" s="23"/>
      <c r="CH15" s="23"/>
      <c r="CI15" s="19">
        <v>0</v>
      </c>
      <c r="CJ15" s="19">
        <v>0</v>
      </c>
      <c r="CK15" s="19">
        <v>0</v>
      </c>
      <c r="CL15" s="19">
        <f>SUM(CM15:CQ15)</f>
        <v>290000</v>
      </c>
      <c r="CM15" s="19">
        <v>0</v>
      </c>
      <c r="CN15" s="19">
        <v>0</v>
      </c>
      <c r="CO15" s="19">
        <f>629750-189750-150000</f>
        <v>290000</v>
      </c>
      <c r="CP15" s="19"/>
      <c r="CQ15" s="19"/>
      <c r="CR15" s="19"/>
      <c r="CS15" s="19"/>
      <c r="CT15" s="19">
        <v>0</v>
      </c>
      <c r="CU15" s="19"/>
      <c r="CV15" s="19"/>
      <c r="CW15" s="19"/>
      <c r="CX15" s="19">
        <f t="shared" si="11"/>
        <v>0</v>
      </c>
      <c r="CY15" s="19">
        <f t="shared" si="12"/>
        <v>0</v>
      </c>
      <c r="CZ15" s="19">
        <v>0</v>
      </c>
      <c r="DA15" s="20">
        <v>0</v>
      </c>
    </row>
    <row r="16" spans="1:109" ht="31.5" x14ac:dyDescent="0.25">
      <c r="A16" s="72" t="s">
        <v>1</v>
      </c>
      <c r="B16" s="21" t="s">
        <v>76</v>
      </c>
      <c r="C16" s="22" t="s">
        <v>77</v>
      </c>
      <c r="D16" s="18">
        <f>SUM(E16+CA16+CX16)</f>
        <v>2459595</v>
      </c>
      <c r="E16" s="19">
        <f>SUM(F16+BB16)</f>
        <v>2154488</v>
      </c>
      <c r="F16" s="19">
        <f t="shared" si="21"/>
        <v>2147003</v>
      </c>
      <c r="G16" s="23">
        <v>1425830</v>
      </c>
      <c r="H16" s="23">
        <v>332538</v>
      </c>
      <c r="I16" s="19">
        <f t="shared" si="7"/>
        <v>229793</v>
      </c>
      <c r="J16" s="24"/>
      <c r="K16" s="24"/>
      <c r="L16" s="24"/>
      <c r="M16" s="24"/>
      <c r="N16" s="23">
        <v>170970</v>
      </c>
      <c r="O16" s="23">
        <v>58823</v>
      </c>
      <c r="P16" s="19">
        <f t="shared" si="8"/>
        <v>12741</v>
      </c>
      <c r="Q16" s="24">
        <v>0</v>
      </c>
      <c r="R16" s="24">
        <v>12741</v>
      </c>
      <c r="S16" s="24">
        <v>0</v>
      </c>
      <c r="T16" s="23">
        <v>64248</v>
      </c>
      <c r="U16" s="19">
        <f>SUM(V16:AC16)</f>
        <v>15397</v>
      </c>
      <c r="V16" s="23">
        <v>0</v>
      </c>
      <c r="W16" s="23">
        <f>5907-1+21</f>
        <v>5927</v>
      </c>
      <c r="X16" s="23">
        <v>8002</v>
      </c>
      <c r="Y16" s="23">
        <f>1469-1</f>
        <v>1468</v>
      </c>
      <c r="Z16" s="23">
        <v>0</v>
      </c>
      <c r="AA16" s="23">
        <v>0</v>
      </c>
      <c r="AB16" s="23">
        <v>0</v>
      </c>
      <c r="AC16" s="23">
        <v>0</v>
      </c>
      <c r="AD16" s="24">
        <v>0</v>
      </c>
      <c r="AE16" s="19">
        <f>SUM(AF16:BA16)</f>
        <v>66456</v>
      </c>
      <c r="AF16" s="24">
        <v>0</v>
      </c>
      <c r="AG16" s="24">
        <v>0</v>
      </c>
      <c r="AH16" s="23">
        <v>7287</v>
      </c>
      <c r="AI16" s="23">
        <v>1226</v>
      </c>
      <c r="AJ16" s="23">
        <v>0</v>
      </c>
      <c r="AK16" s="23">
        <v>0</v>
      </c>
      <c r="AL16" s="23">
        <v>0</v>
      </c>
      <c r="AM16" s="23">
        <v>0</v>
      </c>
      <c r="AN16" s="23">
        <v>7956</v>
      </c>
      <c r="AO16" s="23">
        <v>17613</v>
      </c>
      <c r="AP16" s="23">
        <v>0</v>
      </c>
      <c r="AQ16" s="23"/>
      <c r="AR16" s="23">
        <v>0</v>
      </c>
      <c r="AS16" s="23">
        <v>28958</v>
      </c>
      <c r="AT16" s="23">
        <v>0</v>
      </c>
      <c r="AU16" s="23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0</v>
      </c>
      <c r="BA16" s="23">
        <v>3416</v>
      </c>
      <c r="BB16" s="19">
        <f>SUM(BC16+BG16+BJ16+BL16+BO16)</f>
        <v>7485</v>
      </c>
      <c r="BC16" s="19">
        <f>SUM(BD16:BF16)</f>
        <v>0</v>
      </c>
      <c r="BD16" s="19">
        <v>0</v>
      </c>
      <c r="BE16" s="19">
        <v>0</v>
      </c>
      <c r="BF16" s="19">
        <v>0</v>
      </c>
      <c r="BG16" s="19">
        <f>SUM(BI16:BI16)</f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f t="shared" si="9"/>
        <v>0</v>
      </c>
      <c r="BM16" s="19">
        <v>0</v>
      </c>
      <c r="BN16" s="19">
        <v>0</v>
      </c>
      <c r="BO16" s="19">
        <f>SUM(BP16:BZ16)</f>
        <v>7485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23">
        <v>7485</v>
      </c>
      <c r="BZ16" s="19">
        <v>0</v>
      </c>
      <c r="CA16" s="19">
        <f>SUM(CB16+CT16)</f>
        <v>305107</v>
      </c>
      <c r="CB16" s="19">
        <f>SUM(CC16+CF16+CL16)</f>
        <v>305107</v>
      </c>
      <c r="CC16" s="19">
        <f t="shared" si="10"/>
        <v>305107</v>
      </c>
      <c r="CD16" s="19">
        <v>0</v>
      </c>
      <c r="CE16" s="23">
        <v>305107</v>
      </c>
      <c r="CF16" s="19">
        <f t="shared" si="22"/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f>SUM(CM16:CQ16)</f>
        <v>0</v>
      </c>
      <c r="CM16" s="19">
        <v>0</v>
      </c>
      <c r="CN16" s="19">
        <v>0</v>
      </c>
      <c r="CO16" s="19">
        <v>0</v>
      </c>
      <c r="CP16" s="19"/>
      <c r="CQ16" s="19"/>
      <c r="CR16" s="19"/>
      <c r="CS16" s="19"/>
      <c r="CT16" s="19">
        <v>0</v>
      </c>
      <c r="CU16" s="19"/>
      <c r="CV16" s="19"/>
      <c r="CW16" s="19"/>
      <c r="CX16" s="19">
        <f t="shared" si="11"/>
        <v>0</v>
      </c>
      <c r="CY16" s="19">
        <f t="shared" si="12"/>
        <v>0</v>
      </c>
      <c r="CZ16" s="19">
        <v>0</v>
      </c>
      <c r="DA16" s="20">
        <v>0</v>
      </c>
    </row>
    <row r="17" spans="1:106" s="86" customFormat="1" ht="31.5" x14ac:dyDescent="0.25">
      <c r="A17" s="71" t="s">
        <v>78</v>
      </c>
      <c r="B17" s="16" t="s">
        <v>1</v>
      </c>
      <c r="C17" s="17" t="s">
        <v>79</v>
      </c>
      <c r="D17" s="18">
        <f t="shared" ref="D17:AT17" si="23">SUM(D18:D30)</f>
        <v>98368199</v>
      </c>
      <c r="E17" s="18">
        <f t="shared" si="23"/>
        <v>92569998</v>
      </c>
      <c r="F17" s="18">
        <f t="shared" si="23"/>
        <v>92301675</v>
      </c>
      <c r="G17" s="18">
        <f t="shared" si="23"/>
        <v>62430118</v>
      </c>
      <c r="H17" s="18">
        <f t="shared" si="23"/>
        <v>14984558</v>
      </c>
      <c r="I17" s="18">
        <f t="shared" si="23"/>
        <v>4929882</v>
      </c>
      <c r="J17" s="18">
        <f t="shared" si="23"/>
        <v>0</v>
      </c>
      <c r="K17" s="18">
        <f t="shared" si="23"/>
        <v>157185</v>
      </c>
      <c r="L17" s="18">
        <f t="shared" si="23"/>
        <v>0</v>
      </c>
      <c r="M17" s="18">
        <f t="shared" si="23"/>
        <v>0</v>
      </c>
      <c r="N17" s="18">
        <f t="shared" si="23"/>
        <v>2845967</v>
      </c>
      <c r="O17" s="18">
        <f t="shared" si="23"/>
        <v>1926730</v>
      </c>
      <c r="P17" s="18">
        <f t="shared" si="23"/>
        <v>1187286</v>
      </c>
      <c r="Q17" s="18">
        <f t="shared" si="23"/>
        <v>0</v>
      </c>
      <c r="R17" s="18">
        <f t="shared" si="23"/>
        <v>1187286</v>
      </c>
      <c r="S17" s="18">
        <f t="shared" si="23"/>
        <v>0</v>
      </c>
      <c r="T17" s="18">
        <f t="shared" si="23"/>
        <v>1946923</v>
      </c>
      <c r="U17" s="18">
        <f t="shared" si="23"/>
        <v>1424953</v>
      </c>
      <c r="V17" s="18">
        <f t="shared" si="23"/>
        <v>130397</v>
      </c>
      <c r="W17" s="18">
        <f t="shared" si="23"/>
        <v>602043</v>
      </c>
      <c r="X17" s="18">
        <f t="shared" si="23"/>
        <v>457572</v>
      </c>
      <c r="Y17" s="18">
        <f t="shared" si="23"/>
        <v>81070</v>
      </c>
      <c r="Z17" s="18">
        <f t="shared" si="23"/>
        <v>61337</v>
      </c>
      <c r="AA17" s="18">
        <f t="shared" si="23"/>
        <v>63832</v>
      </c>
      <c r="AB17" s="18">
        <f t="shared" si="23"/>
        <v>0</v>
      </c>
      <c r="AC17" s="18">
        <f t="shared" si="23"/>
        <v>28702</v>
      </c>
      <c r="AD17" s="18">
        <f t="shared" ref="AD17" si="24">SUM(AD18:AD30)</f>
        <v>0</v>
      </c>
      <c r="AE17" s="18">
        <f t="shared" si="23"/>
        <v>5397955</v>
      </c>
      <c r="AF17" s="18">
        <f t="shared" si="23"/>
        <v>0</v>
      </c>
      <c r="AG17" s="18">
        <f t="shared" si="23"/>
        <v>0</v>
      </c>
      <c r="AH17" s="18">
        <f t="shared" si="23"/>
        <v>126713</v>
      </c>
      <c r="AI17" s="18">
        <f t="shared" si="23"/>
        <v>854575</v>
      </c>
      <c r="AJ17" s="18">
        <f t="shared" si="23"/>
        <v>0</v>
      </c>
      <c r="AK17" s="18">
        <f t="shared" si="23"/>
        <v>20061</v>
      </c>
      <c r="AL17" s="18">
        <f t="shared" si="23"/>
        <v>4439</v>
      </c>
      <c r="AM17" s="18">
        <f t="shared" si="23"/>
        <v>377968</v>
      </c>
      <c r="AN17" s="18">
        <f t="shared" si="23"/>
        <v>264745</v>
      </c>
      <c r="AO17" s="18">
        <f t="shared" si="23"/>
        <v>670123</v>
      </c>
      <c r="AP17" s="18">
        <f t="shared" si="23"/>
        <v>245</v>
      </c>
      <c r="AQ17" s="18"/>
      <c r="AR17" s="18">
        <f t="shared" si="23"/>
        <v>0</v>
      </c>
      <c r="AS17" s="18">
        <f t="shared" si="23"/>
        <v>280855</v>
      </c>
      <c r="AT17" s="18">
        <f t="shared" si="23"/>
        <v>246467</v>
      </c>
      <c r="AU17" s="18"/>
      <c r="AV17" s="18"/>
      <c r="AW17" s="18">
        <f t="shared" ref="AW17:CO17" si="25">SUM(AW18:AW30)</f>
        <v>0</v>
      </c>
      <c r="AX17" s="18">
        <f t="shared" si="25"/>
        <v>0</v>
      </c>
      <c r="AY17" s="18">
        <f t="shared" si="25"/>
        <v>1998175</v>
      </c>
      <c r="AZ17" s="18">
        <f t="shared" si="25"/>
        <v>179582</v>
      </c>
      <c r="BA17" s="18">
        <f t="shared" si="25"/>
        <v>374007</v>
      </c>
      <c r="BB17" s="18">
        <f t="shared" si="25"/>
        <v>268323</v>
      </c>
      <c r="BC17" s="18">
        <f t="shared" si="25"/>
        <v>0</v>
      </c>
      <c r="BD17" s="18">
        <f t="shared" si="25"/>
        <v>0</v>
      </c>
      <c r="BE17" s="18">
        <f t="shared" si="25"/>
        <v>0</v>
      </c>
      <c r="BF17" s="18">
        <f t="shared" si="25"/>
        <v>0</v>
      </c>
      <c r="BG17" s="18">
        <f t="shared" si="25"/>
        <v>0</v>
      </c>
      <c r="BH17" s="18">
        <f t="shared" si="25"/>
        <v>0</v>
      </c>
      <c r="BI17" s="18">
        <f t="shared" si="25"/>
        <v>0</v>
      </c>
      <c r="BJ17" s="18">
        <f t="shared" si="25"/>
        <v>0</v>
      </c>
      <c r="BK17" s="18">
        <f t="shared" ref="BK17" si="26">SUM(BK18:BK30)</f>
        <v>0</v>
      </c>
      <c r="BL17" s="18">
        <f t="shared" si="25"/>
        <v>0</v>
      </c>
      <c r="BM17" s="18">
        <f t="shared" si="25"/>
        <v>0</v>
      </c>
      <c r="BN17" s="18">
        <f t="shared" si="25"/>
        <v>0</v>
      </c>
      <c r="BO17" s="18">
        <f t="shared" si="25"/>
        <v>268323</v>
      </c>
      <c r="BP17" s="18">
        <f t="shared" si="25"/>
        <v>0</v>
      </c>
      <c r="BQ17" s="18">
        <f t="shared" si="25"/>
        <v>0</v>
      </c>
      <c r="BR17" s="18">
        <f t="shared" si="25"/>
        <v>10670</v>
      </c>
      <c r="BS17" s="18">
        <f t="shared" si="25"/>
        <v>0</v>
      </c>
      <c r="BT17" s="18">
        <f t="shared" si="25"/>
        <v>0</v>
      </c>
      <c r="BU17" s="18">
        <f t="shared" si="25"/>
        <v>0</v>
      </c>
      <c r="BV17" s="18">
        <f t="shared" si="25"/>
        <v>0</v>
      </c>
      <c r="BW17" s="18">
        <f t="shared" si="25"/>
        <v>0</v>
      </c>
      <c r="BX17" s="18">
        <f t="shared" si="25"/>
        <v>0</v>
      </c>
      <c r="BY17" s="18">
        <f t="shared" si="25"/>
        <v>257653</v>
      </c>
      <c r="BZ17" s="18">
        <f t="shared" si="25"/>
        <v>0</v>
      </c>
      <c r="CA17" s="18">
        <f t="shared" si="25"/>
        <v>5798201</v>
      </c>
      <c r="CB17" s="18">
        <f t="shared" si="25"/>
        <v>5798201</v>
      </c>
      <c r="CC17" s="18">
        <f t="shared" si="25"/>
        <v>2377539</v>
      </c>
      <c r="CD17" s="18">
        <f t="shared" si="25"/>
        <v>0</v>
      </c>
      <c r="CE17" s="18">
        <f t="shared" si="25"/>
        <v>2377539</v>
      </c>
      <c r="CF17" s="18">
        <f t="shared" si="25"/>
        <v>505465</v>
      </c>
      <c r="CG17" s="18">
        <f t="shared" si="25"/>
        <v>0</v>
      </c>
      <c r="CH17" s="18">
        <f t="shared" si="25"/>
        <v>0</v>
      </c>
      <c r="CI17" s="18">
        <f t="shared" si="25"/>
        <v>505465</v>
      </c>
      <c r="CJ17" s="18">
        <f t="shared" si="25"/>
        <v>0</v>
      </c>
      <c r="CK17" s="18">
        <f t="shared" ref="CK17" si="27">SUM(CK18:CK30)</f>
        <v>0</v>
      </c>
      <c r="CL17" s="18">
        <f t="shared" si="25"/>
        <v>2915197</v>
      </c>
      <c r="CM17" s="18">
        <f t="shared" si="25"/>
        <v>0</v>
      </c>
      <c r="CN17" s="18">
        <f t="shared" si="25"/>
        <v>0</v>
      </c>
      <c r="CO17" s="18">
        <f t="shared" si="25"/>
        <v>2915197</v>
      </c>
      <c r="CP17" s="18"/>
      <c r="CQ17" s="18"/>
      <c r="CR17" s="18"/>
      <c r="CS17" s="18"/>
      <c r="CT17" s="18">
        <f t="shared" ref="CT17:DA17" si="28">SUM(CT18:CT30)</f>
        <v>0</v>
      </c>
      <c r="CU17" s="18"/>
      <c r="CV17" s="18"/>
      <c r="CW17" s="18"/>
      <c r="CX17" s="18">
        <f t="shared" si="28"/>
        <v>0</v>
      </c>
      <c r="CY17" s="18">
        <f t="shared" si="28"/>
        <v>0</v>
      </c>
      <c r="CZ17" s="18">
        <f t="shared" si="28"/>
        <v>0</v>
      </c>
      <c r="DA17" s="46">
        <f t="shared" si="28"/>
        <v>0</v>
      </c>
      <c r="DB17" s="85"/>
    </row>
    <row r="18" spans="1:106" ht="31.5" x14ac:dyDescent="0.25">
      <c r="A18" s="72" t="s">
        <v>1</v>
      </c>
      <c r="B18" s="21" t="s">
        <v>80</v>
      </c>
      <c r="C18" s="22" t="s">
        <v>81</v>
      </c>
      <c r="D18" s="18">
        <f t="shared" ref="D18:D30" si="29">SUM(E18+CA18+CX18)</f>
        <v>27569853</v>
      </c>
      <c r="E18" s="19">
        <f t="shared" ref="E18:E30" si="30">SUM(F18+BB18)</f>
        <v>25329856</v>
      </c>
      <c r="F18" s="19">
        <f t="shared" ref="F18:F30" si="31">SUM(G18+H18+I18+P18+S18+T18+U18+AE18)</f>
        <v>25329856</v>
      </c>
      <c r="G18" s="23">
        <v>18009165</v>
      </c>
      <c r="H18" s="23">
        <v>4300989</v>
      </c>
      <c r="I18" s="19">
        <f t="shared" si="7"/>
        <v>1311867</v>
      </c>
      <c r="J18" s="23">
        <v>0</v>
      </c>
      <c r="K18" s="23">
        <v>0</v>
      </c>
      <c r="L18" s="23">
        <v>0</v>
      </c>
      <c r="M18" s="23">
        <v>0</v>
      </c>
      <c r="N18" s="23">
        <v>1007417</v>
      </c>
      <c r="O18" s="23">
        <v>304450</v>
      </c>
      <c r="P18" s="19">
        <f t="shared" si="8"/>
        <v>264024</v>
      </c>
      <c r="Q18" s="23">
        <v>0</v>
      </c>
      <c r="R18" s="23">
        <f>286632-22608</f>
        <v>264024</v>
      </c>
      <c r="S18" s="23">
        <v>0</v>
      </c>
      <c r="T18" s="23">
        <v>210240</v>
      </c>
      <c r="U18" s="19">
        <f t="shared" ref="U18:U30" si="32">SUM(V18:AC18)</f>
        <v>374612</v>
      </c>
      <c r="V18" s="23">
        <v>57592</v>
      </c>
      <c r="W18" s="23">
        <v>70668</v>
      </c>
      <c r="X18" s="23">
        <f>116568+22608</f>
        <v>139176</v>
      </c>
      <c r="Y18" s="23">
        <v>22975</v>
      </c>
      <c r="Z18" s="23">
        <v>15357</v>
      </c>
      <c r="AA18" s="23">
        <v>62200</v>
      </c>
      <c r="AB18" s="23">
        <v>0</v>
      </c>
      <c r="AC18" s="23">
        <v>6644</v>
      </c>
      <c r="AD18" s="24">
        <v>0</v>
      </c>
      <c r="AE18" s="19">
        <f t="shared" ref="AE18:AE30" si="33">SUM(AF18:BA18)</f>
        <v>858959</v>
      </c>
      <c r="AF18" s="19">
        <v>0</v>
      </c>
      <c r="AG18" s="24">
        <v>0</v>
      </c>
      <c r="AH18" s="23">
        <v>57420</v>
      </c>
      <c r="AI18" s="23">
        <v>48101</v>
      </c>
      <c r="AJ18" s="23">
        <v>0</v>
      </c>
      <c r="AK18" s="23">
        <v>2826</v>
      </c>
      <c r="AL18" s="23">
        <v>0</v>
      </c>
      <c r="AM18" s="23">
        <v>123406</v>
      </c>
      <c r="AN18" s="23">
        <v>59685</v>
      </c>
      <c r="AO18" s="23">
        <v>45674</v>
      </c>
      <c r="AP18" s="23">
        <v>245</v>
      </c>
      <c r="AQ18" s="23"/>
      <c r="AR18" s="23">
        <v>0</v>
      </c>
      <c r="AS18" s="23">
        <v>33766</v>
      </c>
      <c r="AT18" s="23">
        <v>9581</v>
      </c>
      <c r="AU18" s="23">
        <v>0</v>
      </c>
      <c r="AV18" s="23">
        <v>0</v>
      </c>
      <c r="AW18" s="23">
        <v>0</v>
      </c>
      <c r="AX18" s="23">
        <v>0</v>
      </c>
      <c r="AY18" s="23">
        <v>317232</v>
      </c>
      <c r="AZ18" s="23">
        <v>0</v>
      </c>
      <c r="BA18" s="23">
        <v>161023</v>
      </c>
      <c r="BB18" s="19">
        <f t="shared" ref="BB18:BB30" si="34">SUM(BC18+BG18+BJ18+BL18+BO18)</f>
        <v>0</v>
      </c>
      <c r="BC18" s="19">
        <f t="shared" ref="BC18:BC30" si="35">SUM(BD18:BF18)</f>
        <v>0</v>
      </c>
      <c r="BD18" s="19">
        <v>0</v>
      </c>
      <c r="BE18" s="19">
        <v>0</v>
      </c>
      <c r="BF18" s="19">
        <v>0</v>
      </c>
      <c r="BG18" s="19">
        <f t="shared" ref="BG18:BG30" si="36">SUM(BI18:BI18)</f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f t="shared" si="9"/>
        <v>0</v>
      </c>
      <c r="BM18" s="19">
        <v>0</v>
      </c>
      <c r="BN18" s="19">
        <v>0</v>
      </c>
      <c r="BO18" s="19">
        <f t="shared" ref="BO18:BO30" si="37">SUM(BP18:BZ18)</f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23">
        <v>0</v>
      </c>
      <c r="BZ18" s="23">
        <v>0</v>
      </c>
      <c r="CA18" s="19">
        <f t="shared" ref="CA18:CA30" si="38">SUM(CB18+CT18)</f>
        <v>2239997</v>
      </c>
      <c r="CB18" s="19">
        <f t="shared" ref="CB18:CB30" si="39">SUM(CC18+CF18+CL18)</f>
        <v>2239997</v>
      </c>
      <c r="CC18" s="19">
        <f t="shared" si="10"/>
        <v>239997</v>
      </c>
      <c r="CD18" s="19">
        <v>0</v>
      </c>
      <c r="CE18" s="23">
        <v>239997</v>
      </c>
      <c r="CF18" s="19">
        <f t="shared" ref="CF18:CF30" si="40">SUM(CG18:CK18)</f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f t="shared" ref="CL18:CL30" si="41">SUM(CM18:CQ18)</f>
        <v>2000000</v>
      </c>
      <c r="CM18" s="19">
        <v>0</v>
      </c>
      <c r="CN18" s="19">
        <v>0</v>
      </c>
      <c r="CO18" s="19">
        <v>2000000</v>
      </c>
      <c r="CP18" s="19"/>
      <c r="CQ18" s="19"/>
      <c r="CR18" s="19"/>
      <c r="CS18" s="19"/>
      <c r="CT18" s="19">
        <v>0</v>
      </c>
      <c r="CU18" s="19"/>
      <c r="CV18" s="19"/>
      <c r="CW18" s="19"/>
      <c r="CX18" s="19">
        <f t="shared" si="11"/>
        <v>0</v>
      </c>
      <c r="CY18" s="19">
        <f t="shared" si="12"/>
        <v>0</v>
      </c>
      <c r="CZ18" s="19">
        <v>0</v>
      </c>
      <c r="DA18" s="20">
        <v>0</v>
      </c>
    </row>
    <row r="19" spans="1:106" ht="31.5" x14ac:dyDescent="0.25">
      <c r="A19" s="72" t="s">
        <v>1</v>
      </c>
      <c r="B19" s="21" t="s">
        <v>82</v>
      </c>
      <c r="C19" s="22" t="s">
        <v>83</v>
      </c>
      <c r="D19" s="18">
        <f t="shared" si="29"/>
        <v>5907060</v>
      </c>
      <c r="E19" s="19">
        <f t="shared" si="30"/>
        <v>5841798</v>
      </c>
      <c r="F19" s="19">
        <f t="shared" si="31"/>
        <v>5841798</v>
      </c>
      <c r="G19" s="23">
        <f>5225778-919242</f>
        <v>4306536</v>
      </c>
      <c r="H19" s="23">
        <f>1228166-151101</f>
        <v>1077065</v>
      </c>
      <c r="I19" s="19">
        <f t="shared" si="7"/>
        <v>169956</v>
      </c>
      <c r="J19" s="23">
        <f>9189-9189</f>
        <v>0</v>
      </c>
      <c r="K19" s="23">
        <v>0</v>
      </c>
      <c r="L19" s="23">
        <v>0</v>
      </c>
      <c r="M19" s="23">
        <v>0</v>
      </c>
      <c r="N19" s="23">
        <v>107738</v>
      </c>
      <c r="O19" s="23">
        <f>51218+11000</f>
        <v>62218</v>
      </c>
      <c r="P19" s="19">
        <f t="shared" si="8"/>
        <v>4319</v>
      </c>
      <c r="Q19" s="23">
        <v>0</v>
      </c>
      <c r="R19" s="23">
        <v>4319</v>
      </c>
      <c r="S19" s="23">
        <v>0</v>
      </c>
      <c r="T19" s="23">
        <v>105906</v>
      </c>
      <c r="U19" s="19">
        <f t="shared" si="32"/>
        <v>80340</v>
      </c>
      <c r="V19" s="23">
        <v>0</v>
      </c>
      <c r="W19" s="23">
        <v>27866</v>
      </c>
      <c r="X19" s="23">
        <f>25994+6004</f>
        <v>31998</v>
      </c>
      <c r="Y19" s="23">
        <f>4293+678</f>
        <v>4971</v>
      </c>
      <c r="Z19" s="23">
        <v>6145</v>
      </c>
      <c r="AA19" s="23">
        <v>0</v>
      </c>
      <c r="AB19" s="23">
        <v>0</v>
      </c>
      <c r="AC19" s="23">
        <f>2394+6966</f>
        <v>9360</v>
      </c>
      <c r="AD19" s="24">
        <v>0</v>
      </c>
      <c r="AE19" s="19">
        <f t="shared" si="33"/>
        <v>97676</v>
      </c>
      <c r="AF19" s="19">
        <v>0</v>
      </c>
      <c r="AG19" s="24">
        <v>0</v>
      </c>
      <c r="AH19" s="23">
        <v>8037</v>
      </c>
      <c r="AI19" s="23">
        <f>0+22302-6004</f>
        <v>16298</v>
      </c>
      <c r="AJ19" s="23">
        <v>0</v>
      </c>
      <c r="AK19" s="23">
        <v>1200</v>
      </c>
      <c r="AL19" s="23">
        <v>0</v>
      </c>
      <c r="AM19" s="23">
        <v>0</v>
      </c>
      <c r="AN19" s="23">
        <v>5775</v>
      </c>
      <c r="AO19" s="23">
        <v>13130</v>
      </c>
      <c r="AP19" s="23">
        <v>0</v>
      </c>
      <c r="AQ19" s="23"/>
      <c r="AR19" s="23">
        <v>0</v>
      </c>
      <c r="AS19" s="23">
        <f>34967-13113</f>
        <v>21854</v>
      </c>
      <c r="AT19" s="23">
        <v>20370</v>
      </c>
      <c r="AU19" s="23">
        <v>0</v>
      </c>
      <c r="AV19" s="23">
        <v>0</v>
      </c>
      <c r="AW19" s="23">
        <v>0</v>
      </c>
      <c r="AX19" s="23">
        <v>0</v>
      </c>
      <c r="AY19" s="23">
        <v>0</v>
      </c>
      <c r="AZ19" s="23">
        <v>0</v>
      </c>
      <c r="BA19" s="23">
        <v>11012</v>
      </c>
      <c r="BB19" s="19">
        <f t="shared" si="34"/>
        <v>0</v>
      </c>
      <c r="BC19" s="19">
        <f t="shared" si="35"/>
        <v>0</v>
      </c>
      <c r="BD19" s="19">
        <v>0</v>
      </c>
      <c r="BE19" s="19">
        <v>0</v>
      </c>
      <c r="BF19" s="19">
        <v>0</v>
      </c>
      <c r="BG19" s="19">
        <f t="shared" si="36"/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f t="shared" si="9"/>
        <v>0</v>
      </c>
      <c r="BM19" s="19">
        <v>0</v>
      </c>
      <c r="BN19" s="19">
        <v>0</v>
      </c>
      <c r="BO19" s="19">
        <f t="shared" si="37"/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0</v>
      </c>
      <c r="BW19" s="19">
        <v>0</v>
      </c>
      <c r="BX19" s="19">
        <v>0</v>
      </c>
      <c r="BY19" s="23">
        <v>0</v>
      </c>
      <c r="BZ19" s="23">
        <v>0</v>
      </c>
      <c r="CA19" s="19">
        <f t="shared" si="38"/>
        <v>65262</v>
      </c>
      <c r="CB19" s="19">
        <f t="shared" si="39"/>
        <v>65262</v>
      </c>
      <c r="CC19" s="19">
        <f t="shared" si="10"/>
        <v>65262</v>
      </c>
      <c r="CD19" s="19">
        <v>0</v>
      </c>
      <c r="CE19" s="23">
        <v>65262</v>
      </c>
      <c r="CF19" s="19">
        <f t="shared" si="40"/>
        <v>0</v>
      </c>
      <c r="CG19" s="19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f t="shared" si="41"/>
        <v>0</v>
      </c>
      <c r="CM19" s="19">
        <v>0</v>
      </c>
      <c r="CN19" s="19">
        <v>0</v>
      </c>
      <c r="CO19" s="19">
        <v>0</v>
      </c>
      <c r="CP19" s="19"/>
      <c r="CQ19" s="19"/>
      <c r="CR19" s="19"/>
      <c r="CS19" s="19"/>
      <c r="CT19" s="19">
        <v>0</v>
      </c>
      <c r="CU19" s="19"/>
      <c r="CV19" s="19"/>
      <c r="CW19" s="19"/>
      <c r="CX19" s="19">
        <f t="shared" si="11"/>
        <v>0</v>
      </c>
      <c r="CY19" s="19">
        <f t="shared" si="12"/>
        <v>0</v>
      </c>
      <c r="CZ19" s="19">
        <v>0</v>
      </c>
      <c r="DA19" s="20">
        <v>0</v>
      </c>
    </row>
    <row r="20" spans="1:106" ht="15.75" x14ac:dyDescent="0.25">
      <c r="A20" s="72" t="s">
        <v>1</v>
      </c>
      <c r="B20" s="21" t="s">
        <v>84</v>
      </c>
      <c r="C20" s="22" t="s">
        <v>85</v>
      </c>
      <c r="D20" s="18">
        <f t="shared" si="29"/>
        <v>9562563</v>
      </c>
      <c r="E20" s="19">
        <f t="shared" si="30"/>
        <v>9507307</v>
      </c>
      <c r="F20" s="19">
        <f t="shared" si="31"/>
        <v>9496637</v>
      </c>
      <c r="G20" s="23">
        <v>5932896</v>
      </c>
      <c r="H20" s="23">
        <v>1410411</v>
      </c>
      <c r="I20" s="19">
        <f t="shared" si="7"/>
        <v>417333</v>
      </c>
      <c r="J20" s="23">
        <v>0</v>
      </c>
      <c r="K20" s="23">
        <v>0</v>
      </c>
      <c r="L20" s="23">
        <v>0</v>
      </c>
      <c r="M20" s="23">
        <v>0</v>
      </c>
      <c r="N20" s="23">
        <v>50821</v>
      </c>
      <c r="O20" s="23">
        <v>366512</v>
      </c>
      <c r="P20" s="19">
        <f t="shared" si="8"/>
        <v>211550</v>
      </c>
      <c r="Q20" s="23">
        <v>0</v>
      </c>
      <c r="R20" s="23">
        <v>211550</v>
      </c>
      <c r="S20" s="23">
        <v>0</v>
      </c>
      <c r="T20" s="23">
        <v>63523</v>
      </c>
      <c r="U20" s="19">
        <f t="shared" si="32"/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4">
        <v>0</v>
      </c>
      <c r="AE20" s="19">
        <f t="shared" si="33"/>
        <v>1460924</v>
      </c>
      <c r="AF20" s="19">
        <v>0</v>
      </c>
      <c r="AG20" s="24">
        <v>0</v>
      </c>
      <c r="AH20" s="23">
        <v>4147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663</v>
      </c>
      <c r="AO20" s="23">
        <v>10754</v>
      </c>
      <c r="AP20" s="23">
        <v>0</v>
      </c>
      <c r="AQ20" s="23"/>
      <c r="AR20" s="23">
        <v>0</v>
      </c>
      <c r="AS20" s="23">
        <v>0</v>
      </c>
      <c r="AT20" s="23">
        <v>69200</v>
      </c>
      <c r="AU20" s="23">
        <v>0</v>
      </c>
      <c r="AV20" s="23">
        <v>0</v>
      </c>
      <c r="AW20" s="23">
        <v>0</v>
      </c>
      <c r="AX20" s="23">
        <v>0</v>
      </c>
      <c r="AY20" s="23">
        <v>1376160</v>
      </c>
      <c r="AZ20" s="23">
        <v>0</v>
      </c>
      <c r="BA20" s="23">
        <v>0</v>
      </c>
      <c r="BB20" s="19">
        <f t="shared" si="34"/>
        <v>10670</v>
      </c>
      <c r="BC20" s="19">
        <f t="shared" si="35"/>
        <v>0</v>
      </c>
      <c r="BD20" s="19">
        <v>0</v>
      </c>
      <c r="BE20" s="19">
        <v>0</v>
      </c>
      <c r="BF20" s="19">
        <v>0</v>
      </c>
      <c r="BG20" s="19">
        <f t="shared" si="36"/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f t="shared" si="9"/>
        <v>0</v>
      </c>
      <c r="BM20" s="19">
        <v>0</v>
      </c>
      <c r="BN20" s="19">
        <v>0</v>
      </c>
      <c r="BO20" s="19">
        <f t="shared" si="37"/>
        <v>10670</v>
      </c>
      <c r="BP20" s="19">
        <v>0</v>
      </c>
      <c r="BQ20" s="19">
        <v>0</v>
      </c>
      <c r="BR20" s="19">
        <v>10670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23">
        <v>0</v>
      </c>
      <c r="BZ20" s="23">
        <v>0</v>
      </c>
      <c r="CA20" s="19">
        <f t="shared" si="38"/>
        <v>55256</v>
      </c>
      <c r="CB20" s="19">
        <f t="shared" si="39"/>
        <v>55256</v>
      </c>
      <c r="CC20" s="19">
        <f t="shared" si="10"/>
        <v>55256</v>
      </c>
      <c r="CD20" s="19">
        <v>0</v>
      </c>
      <c r="CE20" s="23">
        <v>55256</v>
      </c>
      <c r="CF20" s="19">
        <f t="shared" si="40"/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f t="shared" si="41"/>
        <v>0</v>
      </c>
      <c r="CM20" s="19">
        <v>0</v>
      </c>
      <c r="CN20" s="19">
        <v>0</v>
      </c>
      <c r="CO20" s="19">
        <v>0</v>
      </c>
      <c r="CP20" s="19"/>
      <c r="CQ20" s="19"/>
      <c r="CR20" s="19"/>
      <c r="CS20" s="19"/>
      <c r="CT20" s="19">
        <v>0</v>
      </c>
      <c r="CU20" s="19"/>
      <c r="CV20" s="19"/>
      <c r="CW20" s="19"/>
      <c r="CX20" s="19">
        <f t="shared" si="11"/>
        <v>0</v>
      </c>
      <c r="CY20" s="19">
        <f t="shared" si="12"/>
        <v>0</v>
      </c>
      <c r="CZ20" s="19">
        <v>0</v>
      </c>
      <c r="DA20" s="20">
        <v>0</v>
      </c>
    </row>
    <row r="21" spans="1:106" ht="15.75" x14ac:dyDescent="0.25">
      <c r="A21" s="72" t="s">
        <v>1</v>
      </c>
      <c r="B21" s="21" t="s">
        <v>86</v>
      </c>
      <c r="C21" s="22" t="s">
        <v>87</v>
      </c>
      <c r="D21" s="18">
        <f t="shared" si="29"/>
        <v>6285417</v>
      </c>
      <c r="E21" s="19">
        <f t="shared" si="30"/>
        <v>6166685</v>
      </c>
      <c r="F21" s="19">
        <f t="shared" si="31"/>
        <v>6159784</v>
      </c>
      <c r="G21" s="23">
        <v>3499641</v>
      </c>
      <c r="H21" s="23">
        <f>834664</f>
        <v>834664</v>
      </c>
      <c r="I21" s="19">
        <f t="shared" si="7"/>
        <v>244542</v>
      </c>
      <c r="J21" s="23">
        <v>0</v>
      </c>
      <c r="K21" s="23">
        <v>0</v>
      </c>
      <c r="L21" s="23">
        <v>0</v>
      </c>
      <c r="M21" s="23">
        <v>0</v>
      </c>
      <c r="N21" s="23">
        <f>177955+50000</f>
        <v>227955</v>
      </c>
      <c r="O21" s="23">
        <v>16587</v>
      </c>
      <c r="P21" s="19">
        <f t="shared" si="8"/>
        <v>27449</v>
      </c>
      <c r="Q21" s="23">
        <v>0</v>
      </c>
      <c r="R21" s="23">
        <v>27449</v>
      </c>
      <c r="S21" s="23">
        <v>0</v>
      </c>
      <c r="T21" s="23">
        <f>1294629-100000</f>
        <v>1194629</v>
      </c>
      <c r="U21" s="19">
        <f t="shared" si="32"/>
        <v>180302</v>
      </c>
      <c r="V21" s="23">
        <v>4915</v>
      </c>
      <c r="W21" s="23">
        <f>87661+32993</f>
        <v>120654</v>
      </c>
      <c r="X21" s="23">
        <f>31485+9403</f>
        <v>40888</v>
      </c>
      <c r="Y21" s="23">
        <f>5803+1186</f>
        <v>6989</v>
      </c>
      <c r="Z21" s="23">
        <v>6856</v>
      </c>
      <c r="AA21" s="23">
        <v>0</v>
      </c>
      <c r="AB21" s="23">
        <v>0</v>
      </c>
      <c r="AC21" s="23">
        <v>0</v>
      </c>
      <c r="AD21" s="24">
        <v>0</v>
      </c>
      <c r="AE21" s="19">
        <f t="shared" si="33"/>
        <v>178557</v>
      </c>
      <c r="AF21" s="19">
        <v>0</v>
      </c>
      <c r="AG21" s="24">
        <v>0</v>
      </c>
      <c r="AH21" s="23">
        <v>0</v>
      </c>
      <c r="AI21" s="23">
        <f>792+50000</f>
        <v>50792</v>
      </c>
      <c r="AJ21" s="23">
        <v>0</v>
      </c>
      <c r="AK21" s="23">
        <v>1655</v>
      </c>
      <c r="AL21" s="23">
        <v>295</v>
      </c>
      <c r="AM21" s="23">
        <v>1485</v>
      </c>
      <c r="AN21" s="23">
        <v>27286</v>
      </c>
      <c r="AO21" s="23">
        <v>13386</v>
      </c>
      <c r="AP21" s="23">
        <v>0</v>
      </c>
      <c r="AQ21" s="23"/>
      <c r="AR21" s="23">
        <v>0</v>
      </c>
      <c r="AS21" s="23">
        <v>18617</v>
      </c>
      <c r="AT21" s="23">
        <v>64920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3">
        <v>121</v>
      </c>
      <c r="BB21" s="19">
        <f t="shared" si="34"/>
        <v>6901</v>
      </c>
      <c r="BC21" s="19">
        <f t="shared" si="35"/>
        <v>0</v>
      </c>
      <c r="BD21" s="19">
        <v>0</v>
      </c>
      <c r="BE21" s="19">
        <v>0</v>
      </c>
      <c r="BF21" s="19">
        <v>0</v>
      </c>
      <c r="BG21" s="19">
        <f t="shared" si="36"/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f t="shared" si="9"/>
        <v>0</v>
      </c>
      <c r="BM21" s="19">
        <v>0</v>
      </c>
      <c r="BN21" s="19">
        <v>0</v>
      </c>
      <c r="BO21" s="19">
        <f t="shared" si="37"/>
        <v>6901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23">
        <v>6901</v>
      </c>
      <c r="BZ21" s="23">
        <v>0</v>
      </c>
      <c r="CA21" s="19">
        <f t="shared" si="38"/>
        <v>118732</v>
      </c>
      <c r="CB21" s="19">
        <f t="shared" si="39"/>
        <v>118732</v>
      </c>
      <c r="CC21" s="19">
        <f t="shared" si="10"/>
        <v>118732</v>
      </c>
      <c r="CD21" s="19">
        <v>0</v>
      </c>
      <c r="CE21" s="23">
        <v>118732</v>
      </c>
      <c r="CF21" s="19">
        <f t="shared" si="40"/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f t="shared" si="41"/>
        <v>0</v>
      </c>
      <c r="CM21" s="19">
        <v>0</v>
      </c>
      <c r="CN21" s="19">
        <v>0</v>
      </c>
      <c r="CO21" s="19">
        <v>0</v>
      </c>
      <c r="CP21" s="19"/>
      <c r="CQ21" s="19"/>
      <c r="CR21" s="19"/>
      <c r="CS21" s="19"/>
      <c r="CT21" s="19">
        <v>0</v>
      </c>
      <c r="CU21" s="19"/>
      <c r="CV21" s="19"/>
      <c r="CW21" s="19"/>
      <c r="CX21" s="19">
        <f t="shared" si="11"/>
        <v>0</v>
      </c>
      <c r="CY21" s="19">
        <f t="shared" si="12"/>
        <v>0</v>
      </c>
      <c r="CZ21" s="19">
        <v>0</v>
      </c>
      <c r="DA21" s="20">
        <v>0</v>
      </c>
    </row>
    <row r="22" spans="1:106" ht="15.75" x14ac:dyDescent="0.25">
      <c r="A22" s="72" t="s">
        <v>1</v>
      </c>
      <c r="B22" s="21" t="s">
        <v>88</v>
      </c>
      <c r="C22" s="22" t="s">
        <v>89</v>
      </c>
      <c r="D22" s="18">
        <f t="shared" si="29"/>
        <v>9137444</v>
      </c>
      <c r="E22" s="19">
        <f t="shared" si="30"/>
        <v>7912765</v>
      </c>
      <c r="F22" s="19">
        <f t="shared" si="31"/>
        <v>7912765</v>
      </c>
      <c r="G22" s="23">
        <v>5928844</v>
      </c>
      <c r="H22" s="23">
        <v>1428736</v>
      </c>
      <c r="I22" s="19">
        <f t="shared" si="7"/>
        <v>279079</v>
      </c>
      <c r="J22" s="23">
        <v>0</v>
      </c>
      <c r="K22" s="23">
        <v>45370</v>
      </c>
      <c r="L22" s="23"/>
      <c r="M22" s="23"/>
      <c r="N22" s="23">
        <v>155930</v>
      </c>
      <c r="O22" s="23">
        <v>77779</v>
      </c>
      <c r="P22" s="19">
        <f t="shared" si="8"/>
        <v>0</v>
      </c>
      <c r="Q22" s="23">
        <v>0</v>
      </c>
      <c r="R22" s="23">
        <f>5380-5380</f>
        <v>0</v>
      </c>
      <c r="S22" s="23">
        <v>0</v>
      </c>
      <c r="T22" s="23">
        <v>83527</v>
      </c>
      <c r="U22" s="19">
        <f t="shared" si="32"/>
        <v>104442</v>
      </c>
      <c r="V22" s="23">
        <v>13094</v>
      </c>
      <c r="W22" s="23">
        <f>24526+2714</f>
        <v>27240</v>
      </c>
      <c r="X22" s="23">
        <f>41284+5632</f>
        <v>46916</v>
      </c>
      <c r="Y22" s="23">
        <v>9743</v>
      </c>
      <c r="Z22" s="23">
        <v>2578</v>
      </c>
      <c r="AA22" s="23">
        <v>0</v>
      </c>
      <c r="AB22" s="23">
        <v>0</v>
      </c>
      <c r="AC22" s="23">
        <v>4871</v>
      </c>
      <c r="AD22" s="24">
        <v>0</v>
      </c>
      <c r="AE22" s="19">
        <f t="shared" si="33"/>
        <v>88137</v>
      </c>
      <c r="AF22" s="19">
        <v>0</v>
      </c>
      <c r="AG22" s="24">
        <v>0</v>
      </c>
      <c r="AH22" s="23">
        <v>5460</v>
      </c>
      <c r="AI22" s="23">
        <f>37966-8346</f>
        <v>29620</v>
      </c>
      <c r="AJ22" s="23">
        <v>0</v>
      </c>
      <c r="AK22" s="23">
        <v>11078</v>
      </c>
      <c r="AL22" s="23">
        <v>0</v>
      </c>
      <c r="AM22" s="23">
        <v>0</v>
      </c>
      <c r="AN22" s="23">
        <v>423</v>
      </c>
      <c r="AO22" s="23">
        <f>25026-13500</f>
        <v>11526</v>
      </c>
      <c r="AP22" s="23">
        <v>0</v>
      </c>
      <c r="AQ22" s="23"/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26352</v>
      </c>
      <c r="AZ22" s="23">
        <v>0</v>
      </c>
      <c r="BA22" s="23">
        <v>3678</v>
      </c>
      <c r="BB22" s="19">
        <f t="shared" si="34"/>
        <v>0</v>
      </c>
      <c r="BC22" s="19">
        <f t="shared" si="35"/>
        <v>0</v>
      </c>
      <c r="BD22" s="19">
        <v>0</v>
      </c>
      <c r="BE22" s="19">
        <v>0</v>
      </c>
      <c r="BF22" s="19">
        <v>0</v>
      </c>
      <c r="BG22" s="19">
        <f t="shared" si="36"/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f t="shared" si="9"/>
        <v>0</v>
      </c>
      <c r="BM22" s="19">
        <v>0</v>
      </c>
      <c r="BN22" s="19">
        <v>0</v>
      </c>
      <c r="BO22" s="19">
        <f t="shared" si="37"/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19">
        <v>0</v>
      </c>
      <c r="BY22" s="23">
        <f>7285-7285</f>
        <v>0</v>
      </c>
      <c r="BZ22" s="23">
        <v>0</v>
      </c>
      <c r="CA22" s="19">
        <f t="shared" si="38"/>
        <v>1224679</v>
      </c>
      <c r="CB22" s="19">
        <f t="shared" si="39"/>
        <v>1224679</v>
      </c>
      <c r="CC22" s="19">
        <f t="shared" si="10"/>
        <v>487448</v>
      </c>
      <c r="CD22" s="19">
        <v>0</v>
      </c>
      <c r="CE22" s="23">
        <v>487448</v>
      </c>
      <c r="CF22" s="19">
        <f t="shared" si="40"/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f t="shared" si="41"/>
        <v>737231</v>
      </c>
      <c r="CM22" s="19">
        <v>0</v>
      </c>
      <c r="CN22" s="19">
        <v>0</v>
      </c>
      <c r="CO22" s="19">
        <v>737231</v>
      </c>
      <c r="CP22" s="19"/>
      <c r="CQ22" s="19"/>
      <c r="CR22" s="19"/>
      <c r="CS22" s="19"/>
      <c r="CT22" s="19">
        <v>0</v>
      </c>
      <c r="CU22" s="19"/>
      <c r="CV22" s="19"/>
      <c r="CW22" s="19"/>
      <c r="CX22" s="19">
        <f t="shared" si="11"/>
        <v>0</v>
      </c>
      <c r="CY22" s="19">
        <f t="shared" si="12"/>
        <v>0</v>
      </c>
      <c r="CZ22" s="19">
        <v>0</v>
      </c>
      <c r="DA22" s="20">
        <v>0</v>
      </c>
    </row>
    <row r="23" spans="1:106" ht="15.75" x14ac:dyDescent="0.25">
      <c r="A23" s="72" t="s">
        <v>1</v>
      </c>
      <c r="B23" s="21" t="s">
        <v>90</v>
      </c>
      <c r="C23" s="22" t="s">
        <v>91</v>
      </c>
      <c r="D23" s="18">
        <f t="shared" si="29"/>
        <v>7954292</v>
      </c>
      <c r="E23" s="19">
        <f t="shared" si="30"/>
        <v>7879047</v>
      </c>
      <c r="F23" s="19">
        <f t="shared" si="31"/>
        <v>7636979</v>
      </c>
      <c r="G23" s="23">
        <v>4386202</v>
      </c>
      <c r="H23" s="23">
        <v>1067538</v>
      </c>
      <c r="I23" s="19">
        <f t="shared" si="7"/>
        <v>370112</v>
      </c>
      <c r="J23" s="23">
        <v>0</v>
      </c>
      <c r="K23" s="23">
        <v>15015</v>
      </c>
      <c r="L23" s="23"/>
      <c r="M23" s="23"/>
      <c r="N23" s="23">
        <v>263918</v>
      </c>
      <c r="O23" s="23">
        <v>91179</v>
      </c>
      <c r="P23" s="19">
        <f t="shared" si="8"/>
        <v>598016</v>
      </c>
      <c r="Q23" s="23">
        <v>0</v>
      </c>
      <c r="R23" s="23">
        <v>598016</v>
      </c>
      <c r="S23" s="23">
        <v>0</v>
      </c>
      <c r="T23" s="23">
        <f>58119-3000</f>
        <v>55119</v>
      </c>
      <c r="U23" s="19">
        <f t="shared" si="32"/>
        <v>70090</v>
      </c>
      <c r="V23" s="23">
        <v>15418</v>
      </c>
      <c r="W23" s="23">
        <v>0</v>
      </c>
      <c r="X23" s="23">
        <v>32891</v>
      </c>
      <c r="Y23" s="23">
        <f>8552-70</f>
        <v>8482</v>
      </c>
      <c r="Z23" s="23">
        <v>5472</v>
      </c>
      <c r="AA23" s="23">
        <v>0</v>
      </c>
      <c r="AB23" s="23">
        <v>0</v>
      </c>
      <c r="AC23" s="23">
        <v>7827</v>
      </c>
      <c r="AD23" s="24">
        <v>0</v>
      </c>
      <c r="AE23" s="19">
        <f t="shared" si="33"/>
        <v>1089902</v>
      </c>
      <c r="AF23" s="19">
        <v>0</v>
      </c>
      <c r="AG23" s="24">
        <v>0</v>
      </c>
      <c r="AH23" s="23">
        <v>8346</v>
      </c>
      <c r="AI23" s="23">
        <v>31615</v>
      </c>
      <c r="AJ23" s="23">
        <v>0</v>
      </c>
      <c r="AK23" s="23">
        <v>0</v>
      </c>
      <c r="AL23" s="23">
        <v>4144</v>
      </c>
      <c r="AM23" s="23">
        <v>253000</v>
      </c>
      <c r="AN23" s="23">
        <v>144865</v>
      </c>
      <c r="AO23" s="23">
        <v>499415</v>
      </c>
      <c r="AP23" s="23">
        <v>0</v>
      </c>
      <c r="AQ23" s="23"/>
      <c r="AR23" s="23">
        <v>0</v>
      </c>
      <c r="AS23" s="23">
        <f>12351-2583</f>
        <v>9768</v>
      </c>
      <c r="AT23" s="23">
        <v>4696</v>
      </c>
      <c r="AU23" s="23">
        <v>0</v>
      </c>
      <c r="AV23" s="23">
        <v>0</v>
      </c>
      <c r="AW23" s="23">
        <v>0</v>
      </c>
      <c r="AX23" s="23">
        <v>0</v>
      </c>
      <c r="AY23" s="23">
        <f>258091-131038</f>
        <v>127053</v>
      </c>
      <c r="AZ23" s="23">
        <v>0</v>
      </c>
      <c r="BA23" s="23">
        <v>7000</v>
      </c>
      <c r="BB23" s="19">
        <f t="shared" si="34"/>
        <v>242068</v>
      </c>
      <c r="BC23" s="19">
        <f t="shared" si="35"/>
        <v>0</v>
      </c>
      <c r="BD23" s="19">
        <v>0</v>
      </c>
      <c r="BE23" s="19">
        <v>0</v>
      </c>
      <c r="BF23" s="19">
        <v>0</v>
      </c>
      <c r="BG23" s="19">
        <f t="shared" si="36"/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f t="shared" si="9"/>
        <v>0</v>
      </c>
      <c r="BM23" s="19">
        <v>0</v>
      </c>
      <c r="BN23" s="19">
        <v>0</v>
      </c>
      <c r="BO23" s="19">
        <f t="shared" si="37"/>
        <v>242068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0</v>
      </c>
      <c r="BW23" s="19">
        <v>0</v>
      </c>
      <c r="BX23" s="19">
        <v>0</v>
      </c>
      <c r="BY23" s="23">
        <v>242068</v>
      </c>
      <c r="BZ23" s="23">
        <v>0</v>
      </c>
      <c r="CA23" s="19">
        <f t="shared" si="38"/>
        <v>75245</v>
      </c>
      <c r="CB23" s="19">
        <f t="shared" si="39"/>
        <v>75245</v>
      </c>
      <c r="CC23" s="19">
        <f t="shared" si="10"/>
        <v>75245</v>
      </c>
      <c r="CD23" s="19">
        <v>0</v>
      </c>
      <c r="CE23" s="23">
        <v>75245</v>
      </c>
      <c r="CF23" s="19">
        <f t="shared" si="40"/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f t="shared" si="41"/>
        <v>0</v>
      </c>
      <c r="CM23" s="19">
        <v>0</v>
      </c>
      <c r="CN23" s="19">
        <v>0</v>
      </c>
      <c r="CO23" s="19">
        <v>0</v>
      </c>
      <c r="CP23" s="19"/>
      <c r="CQ23" s="19"/>
      <c r="CR23" s="19"/>
      <c r="CS23" s="19"/>
      <c r="CT23" s="19">
        <v>0</v>
      </c>
      <c r="CU23" s="19"/>
      <c r="CV23" s="19"/>
      <c r="CW23" s="19"/>
      <c r="CX23" s="19">
        <f t="shared" si="11"/>
        <v>0</v>
      </c>
      <c r="CY23" s="19">
        <f t="shared" si="12"/>
        <v>0</v>
      </c>
      <c r="CZ23" s="19">
        <v>0</v>
      </c>
      <c r="DA23" s="20">
        <v>0</v>
      </c>
    </row>
    <row r="24" spans="1:106" ht="31.5" x14ac:dyDescent="0.25">
      <c r="A24" s="72" t="s">
        <v>1</v>
      </c>
      <c r="B24" s="21" t="s">
        <v>92</v>
      </c>
      <c r="C24" s="22" t="s">
        <v>93</v>
      </c>
      <c r="D24" s="18">
        <f t="shared" si="29"/>
        <v>11597347</v>
      </c>
      <c r="E24" s="19">
        <f t="shared" si="30"/>
        <v>10875409</v>
      </c>
      <c r="F24" s="19">
        <f t="shared" si="31"/>
        <v>10875409</v>
      </c>
      <c r="G24" s="23">
        <v>7436208</v>
      </c>
      <c r="H24" s="23">
        <v>1774477</v>
      </c>
      <c r="I24" s="19">
        <f t="shared" si="7"/>
        <v>801797</v>
      </c>
      <c r="J24" s="23">
        <v>0</v>
      </c>
      <c r="K24" s="23">
        <v>0</v>
      </c>
      <c r="L24" s="23"/>
      <c r="M24" s="23"/>
      <c r="N24" s="23">
        <v>406500</v>
      </c>
      <c r="O24" s="23">
        <v>395297</v>
      </c>
      <c r="P24" s="19">
        <f t="shared" si="8"/>
        <v>71540</v>
      </c>
      <c r="Q24" s="23">
        <v>0</v>
      </c>
      <c r="R24" s="23">
        <v>71540</v>
      </c>
      <c r="S24" s="23">
        <v>0</v>
      </c>
      <c r="T24" s="23">
        <f>97548-60640</f>
        <v>36908</v>
      </c>
      <c r="U24" s="19">
        <f t="shared" si="32"/>
        <v>196468</v>
      </c>
      <c r="V24" s="23">
        <v>0</v>
      </c>
      <c r="W24" s="23">
        <v>125658</v>
      </c>
      <c r="X24" s="23">
        <f>45836-1938</f>
        <v>43898</v>
      </c>
      <c r="Y24" s="23">
        <f>14636+605</f>
        <v>15241</v>
      </c>
      <c r="Z24" s="23">
        <v>10039</v>
      </c>
      <c r="AA24" s="23">
        <v>1632</v>
      </c>
      <c r="AB24" s="23">
        <v>0</v>
      </c>
      <c r="AC24" s="23">
        <v>0</v>
      </c>
      <c r="AD24" s="24">
        <v>0</v>
      </c>
      <c r="AE24" s="19">
        <f t="shared" si="33"/>
        <v>558011</v>
      </c>
      <c r="AF24" s="19">
        <v>0</v>
      </c>
      <c r="AG24" s="24">
        <v>0</v>
      </c>
      <c r="AH24" s="23">
        <v>11964</v>
      </c>
      <c r="AI24" s="23">
        <f>246434+242091</f>
        <v>488525</v>
      </c>
      <c r="AJ24" s="23">
        <v>0</v>
      </c>
      <c r="AK24" s="23">
        <v>600</v>
      </c>
      <c r="AL24" s="23">
        <v>0</v>
      </c>
      <c r="AM24" s="23">
        <v>0</v>
      </c>
      <c r="AN24" s="23">
        <v>0</v>
      </c>
      <c r="AO24" s="23">
        <v>14550</v>
      </c>
      <c r="AP24" s="23">
        <v>0</v>
      </c>
      <c r="AQ24" s="23"/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23">
        <v>0</v>
      </c>
      <c r="BA24" s="23">
        <f>16272+26100</f>
        <v>42372</v>
      </c>
      <c r="BB24" s="19">
        <f t="shared" si="34"/>
        <v>0</v>
      </c>
      <c r="BC24" s="19">
        <f t="shared" si="35"/>
        <v>0</v>
      </c>
      <c r="BD24" s="19">
        <v>0</v>
      </c>
      <c r="BE24" s="19">
        <v>0</v>
      </c>
      <c r="BF24" s="19">
        <v>0</v>
      </c>
      <c r="BG24" s="19">
        <f t="shared" si="36"/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f t="shared" si="9"/>
        <v>0</v>
      </c>
      <c r="BM24" s="19">
        <v>0</v>
      </c>
      <c r="BN24" s="19">
        <v>0</v>
      </c>
      <c r="BO24" s="19">
        <f t="shared" si="37"/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19">
        <v>0</v>
      </c>
      <c r="BY24" s="23">
        <v>0</v>
      </c>
      <c r="BZ24" s="23">
        <v>0</v>
      </c>
      <c r="CA24" s="19">
        <f t="shared" si="38"/>
        <v>721938</v>
      </c>
      <c r="CB24" s="19">
        <f t="shared" si="39"/>
        <v>721938</v>
      </c>
      <c r="CC24" s="19">
        <f t="shared" si="10"/>
        <v>429029</v>
      </c>
      <c r="CD24" s="19">
        <v>0</v>
      </c>
      <c r="CE24" s="23">
        <f>394489+34540</f>
        <v>429029</v>
      </c>
      <c r="CF24" s="19">
        <f t="shared" si="40"/>
        <v>292909</v>
      </c>
      <c r="CG24" s="19">
        <v>0</v>
      </c>
      <c r="CH24" s="19">
        <v>0</v>
      </c>
      <c r="CI24" s="19">
        <f>535000-242091</f>
        <v>292909</v>
      </c>
      <c r="CJ24" s="19">
        <v>0</v>
      </c>
      <c r="CK24" s="19">
        <v>0</v>
      </c>
      <c r="CL24" s="19">
        <f t="shared" si="41"/>
        <v>0</v>
      </c>
      <c r="CM24" s="19">
        <v>0</v>
      </c>
      <c r="CN24" s="19">
        <v>0</v>
      </c>
      <c r="CO24" s="19">
        <v>0</v>
      </c>
      <c r="CP24" s="19"/>
      <c r="CQ24" s="19"/>
      <c r="CR24" s="19"/>
      <c r="CS24" s="19"/>
      <c r="CT24" s="19">
        <v>0</v>
      </c>
      <c r="CU24" s="19"/>
      <c r="CV24" s="19"/>
      <c r="CW24" s="19"/>
      <c r="CX24" s="19">
        <f t="shared" si="11"/>
        <v>0</v>
      </c>
      <c r="CY24" s="19">
        <f t="shared" si="12"/>
        <v>0</v>
      </c>
      <c r="CZ24" s="19">
        <v>0</v>
      </c>
      <c r="DA24" s="20">
        <v>0</v>
      </c>
    </row>
    <row r="25" spans="1:106" ht="15.75" x14ac:dyDescent="0.25">
      <c r="A25" s="72" t="s">
        <v>1</v>
      </c>
      <c r="B25" s="21" t="s">
        <v>94</v>
      </c>
      <c r="C25" s="22" t="s">
        <v>95</v>
      </c>
      <c r="D25" s="18">
        <f t="shared" si="29"/>
        <v>1249624</v>
      </c>
      <c r="E25" s="19">
        <f t="shared" si="30"/>
        <v>1239822</v>
      </c>
      <c r="F25" s="19">
        <f t="shared" si="31"/>
        <v>1239822</v>
      </c>
      <c r="G25" s="23">
        <v>931630</v>
      </c>
      <c r="H25" s="23">
        <v>219585</v>
      </c>
      <c r="I25" s="19">
        <f t="shared" si="7"/>
        <v>48545</v>
      </c>
      <c r="J25" s="23">
        <v>0</v>
      </c>
      <c r="K25" s="23">
        <v>0</v>
      </c>
      <c r="L25" s="23"/>
      <c r="M25" s="23"/>
      <c r="N25" s="23">
        <v>22593</v>
      </c>
      <c r="O25" s="23">
        <v>25952</v>
      </c>
      <c r="P25" s="19">
        <f t="shared" si="8"/>
        <v>0</v>
      </c>
      <c r="Q25" s="23">
        <v>0</v>
      </c>
      <c r="R25" s="23">
        <v>0</v>
      </c>
      <c r="S25" s="23">
        <v>0</v>
      </c>
      <c r="T25" s="23">
        <v>16957</v>
      </c>
      <c r="U25" s="19">
        <f t="shared" si="32"/>
        <v>12403</v>
      </c>
      <c r="V25" s="23">
        <v>0</v>
      </c>
      <c r="W25" s="23">
        <f>3568+2476</f>
        <v>6044</v>
      </c>
      <c r="X25" s="23">
        <f>4369+228+532</f>
        <v>5129</v>
      </c>
      <c r="Y25" s="23">
        <f>904+326</f>
        <v>1230</v>
      </c>
      <c r="Z25" s="23">
        <v>0</v>
      </c>
      <c r="AA25" s="23">
        <v>0</v>
      </c>
      <c r="AB25" s="23">
        <v>0</v>
      </c>
      <c r="AC25" s="23">
        <v>0</v>
      </c>
      <c r="AD25" s="24">
        <v>0</v>
      </c>
      <c r="AE25" s="19">
        <f t="shared" si="33"/>
        <v>10702</v>
      </c>
      <c r="AF25" s="19">
        <v>0</v>
      </c>
      <c r="AG25" s="24">
        <v>0</v>
      </c>
      <c r="AH25" s="23">
        <v>2600</v>
      </c>
      <c r="AI25" s="23">
        <v>0</v>
      </c>
      <c r="AJ25" s="23">
        <v>0</v>
      </c>
      <c r="AK25" s="23">
        <v>1258</v>
      </c>
      <c r="AL25" s="23">
        <v>0</v>
      </c>
      <c r="AM25" s="23">
        <v>0</v>
      </c>
      <c r="AN25" s="23">
        <v>0</v>
      </c>
      <c r="AO25" s="23">
        <v>5238</v>
      </c>
      <c r="AP25" s="23">
        <v>0</v>
      </c>
      <c r="AQ25" s="23"/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f>4636-3030</f>
        <v>1606</v>
      </c>
      <c r="BB25" s="19">
        <f t="shared" si="34"/>
        <v>0</v>
      </c>
      <c r="BC25" s="19">
        <f t="shared" si="35"/>
        <v>0</v>
      </c>
      <c r="BD25" s="19">
        <v>0</v>
      </c>
      <c r="BE25" s="19">
        <v>0</v>
      </c>
      <c r="BF25" s="19">
        <v>0</v>
      </c>
      <c r="BG25" s="19">
        <f t="shared" si="36"/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f t="shared" si="9"/>
        <v>0</v>
      </c>
      <c r="BM25" s="19">
        <v>0</v>
      </c>
      <c r="BN25" s="19">
        <v>0</v>
      </c>
      <c r="BO25" s="19">
        <f t="shared" si="37"/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19">
        <v>0</v>
      </c>
      <c r="BY25" s="23">
        <v>0</v>
      </c>
      <c r="BZ25" s="23">
        <v>0</v>
      </c>
      <c r="CA25" s="19">
        <f t="shared" si="38"/>
        <v>9802</v>
      </c>
      <c r="CB25" s="19">
        <f t="shared" si="39"/>
        <v>9802</v>
      </c>
      <c r="CC25" s="19">
        <f t="shared" si="10"/>
        <v>9802</v>
      </c>
      <c r="CD25" s="19">
        <v>0</v>
      </c>
      <c r="CE25" s="23">
        <v>9802</v>
      </c>
      <c r="CF25" s="19">
        <f t="shared" si="40"/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f t="shared" si="41"/>
        <v>0</v>
      </c>
      <c r="CM25" s="19">
        <v>0</v>
      </c>
      <c r="CN25" s="19">
        <v>0</v>
      </c>
      <c r="CO25" s="19">
        <v>0</v>
      </c>
      <c r="CP25" s="19"/>
      <c r="CQ25" s="19"/>
      <c r="CR25" s="19"/>
      <c r="CS25" s="19"/>
      <c r="CT25" s="19">
        <v>0</v>
      </c>
      <c r="CU25" s="19"/>
      <c r="CV25" s="19"/>
      <c r="CW25" s="19"/>
      <c r="CX25" s="19">
        <f t="shared" si="11"/>
        <v>0</v>
      </c>
      <c r="CY25" s="19">
        <f t="shared" si="12"/>
        <v>0</v>
      </c>
      <c r="CZ25" s="19">
        <v>0</v>
      </c>
      <c r="DA25" s="20">
        <v>0</v>
      </c>
    </row>
    <row r="26" spans="1:106" ht="31.5" x14ac:dyDescent="0.25">
      <c r="A26" s="72" t="s">
        <v>1</v>
      </c>
      <c r="B26" s="21" t="s">
        <v>96</v>
      </c>
      <c r="C26" s="22" t="s">
        <v>97</v>
      </c>
      <c r="D26" s="18">
        <f t="shared" si="29"/>
        <v>2045823</v>
      </c>
      <c r="E26" s="19">
        <f t="shared" si="30"/>
        <v>2020445</v>
      </c>
      <c r="F26" s="19">
        <f t="shared" si="31"/>
        <v>2020445</v>
      </c>
      <c r="G26" s="23">
        <f>1405323-27076</f>
        <v>1378247</v>
      </c>
      <c r="H26" s="23">
        <f>339391-6769</f>
        <v>332622</v>
      </c>
      <c r="I26" s="19">
        <f t="shared" si="7"/>
        <v>44880</v>
      </c>
      <c r="J26" s="23">
        <v>0</v>
      </c>
      <c r="K26" s="23">
        <v>0</v>
      </c>
      <c r="L26" s="23"/>
      <c r="M26" s="23"/>
      <c r="N26" s="23">
        <v>25444</v>
      </c>
      <c r="O26" s="23">
        <v>19436</v>
      </c>
      <c r="P26" s="19">
        <f t="shared" si="8"/>
        <v>10008</v>
      </c>
      <c r="Q26" s="23">
        <v>0</v>
      </c>
      <c r="R26" s="23">
        <v>10008</v>
      </c>
      <c r="S26" s="23">
        <v>0</v>
      </c>
      <c r="T26" s="23">
        <v>29563</v>
      </c>
      <c r="U26" s="19">
        <f t="shared" si="32"/>
        <v>58322</v>
      </c>
      <c r="V26" s="23">
        <v>7204</v>
      </c>
      <c r="W26" s="23">
        <f>52626-4561</f>
        <v>48065</v>
      </c>
      <c r="X26" s="23">
        <v>420</v>
      </c>
      <c r="Y26" s="23">
        <v>42</v>
      </c>
      <c r="Z26" s="23">
        <v>2591</v>
      </c>
      <c r="AA26" s="23">
        <v>0</v>
      </c>
      <c r="AB26" s="23">
        <v>0</v>
      </c>
      <c r="AC26" s="23">
        <v>0</v>
      </c>
      <c r="AD26" s="24">
        <v>0</v>
      </c>
      <c r="AE26" s="19">
        <f t="shared" si="33"/>
        <v>166803</v>
      </c>
      <c r="AF26" s="19">
        <v>0</v>
      </c>
      <c r="AG26" s="24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1048</v>
      </c>
      <c r="AO26" s="23">
        <v>5244</v>
      </c>
      <c r="AP26" s="23">
        <v>0</v>
      </c>
      <c r="AQ26" s="23"/>
      <c r="AR26" s="23">
        <v>0</v>
      </c>
      <c r="AS26" s="23">
        <v>0</v>
      </c>
      <c r="AT26" s="23">
        <v>8400</v>
      </c>
      <c r="AU26" s="23">
        <v>0</v>
      </c>
      <c r="AV26" s="23">
        <v>0</v>
      </c>
      <c r="AW26" s="23">
        <v>0</v>
      </c>
      <c r="AX26" s="23">
        <v>0</v>
      </c>
      <c r="AY26" s="23">
        <v>151378</v>
      </c>
      <c r="AZ26" s="23">
        <v>0</v>
      </c>
      <c r="BA26" s="23">
        <v>733</v>
      </c>
      <c r="BB26" s="19">
        <f t="shared" si="34"/>
        <v>0</v>
      </c>
      <c r="BC26" s="19">
        <f t="shared" si="35"/>
        <v>0</v>
      </c>
      <c r="BD26" s="19">
        <v>0</v>
      </c>
      <c r="BE26" s="19">
        <v>0</v>
      </c>
      <c r="BF26" s="19">
        <v>0</v>
      </c>
      <c r="BG26" s="19">
        <f t="shared" si="36"/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f t="shared" si="9"/>
        <v>0</v>
      </c>
      <c r="BM26" s="19">
        <v>0</v>
      </c>
      <c r="BN26" s="19">
        <v>0</v>
      </c>
      <c r="BO26" s="19">
        <f t="shared" si="37"/>
        <v>0</v>
      </c>
      <c r="BP26" s="19">
        <v>0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23">
        <v>0</v>
      </c>
      <c r="BZ26" s="23">
        <v>0</v>
      </c>
      <c r="CA26" s="19">
        <f t="shared" si="38"/>
        <v>25378</v>
      </c>
      <c r="CB26" s="19">
        <f t="shared" si="39"/>
        <v>25378</v>
      </c>
      <c r="CC26" s="19">
        <f t="shared" si="10"/>
        <v>25378</v>
      </c>
      <c r="CD26" s="19">
        <v>0</v>
      </c>
      <c r="CE26" s="23">
        <v>25378</v>
      </c>
      <c r="CF26" s="19">
        <f t="shared" si="40"/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f t="shared" si="41"/>
        <v>0</v>
      </c>
      <c r="CM26" s="19">
        <v>0</v>
      </c>
      <c r="CN26" s="19">
        <v>0</v>
      </c>
      <c r="CO26" s="19">
        <v>0</v>
      </c>
      <c r="CP26" s="19"/>
      <c r="CQ26" s="19"/>
      <c r="CR26" s="19"/>
      <c r="CS26" s="19"/>
      <c r="CT26" s="19">
        <v>0</v>
      </c>
      <c r="CU26" s="19"/>
      <c r="CV26" s="19"/>
      <c r="CW26" s="19"/>
      <c r="CX26" s="19">
        <f t="shared" si="11"/>
        <v>0</v>
      </c>
      <c r="CY26" s="19">
        <f t="shared" si="12"/>
        <v>0</v>
      </c>
      <c r="CZ26" s="19">
        <v>0</v>
      </c>
      <c r="DA26" s="20">
        <v>0</v>
      </c>
    </row>
    <row r="27" spans="1:106" ht="31.5" x14ac:dyDescent="0.25">
      <c r="A27" s="72" t="s">
        <v>1</v>
      </c>
      <c r="B27" s="21" t="s">
        <v>98</v>
      </c>
      <c r="C27" s="22" t="s">
        <v>99</v>
      </c>
      <c r="D27" s="18">
        <f t="shared" si="29"/>
        <v>2923100</v>
      </c>
      <c r="E27" s="19">
        <f t="shared" si="30"/>
        <v>2701550</v>
      </c>
      <c r="F27" s="19">
        <f t="shared" si="31"/>
        <v>2697467</v>
      </c>
      <c r="G27" s="23">
        <f>1979914-247462</f>
        <v>1732452</v>
      </c>
      <c r="H27" s="23">
        <f>476004-40095</f>
        <v>435909</v>
      </c>
      <c r="I27" s="19">
        <f t="shared" si="7"/>
        <v>304031</v>
      </c>
      <c r="J27" s="23">
        <v>0</v>
      </c>
      <c r="K27" s="23">
        <v>0</v>
      </c>
      <c r="L27" s="23"/>
      <c r="M27" s="23"/>
      <c r="N27" s="23">
        <v>31911</v>
      </c>
      <c r="O27" s="23">
        <f>6440+272706-7026</f>
        <v>272120</v>
      </c>
      <c r="P27" s="19">
        <f t="shared" si="8"/>
        <v>0</v>
      </c>
      <c r="Q27" s="23">
        <v>0</v>
      </c>
      <c r="R27" s="23">
        <v>0</v>
      </c>
      <c r="S27" s="23">
        <v>0</v>
      </c>
      <c r="T27" s="23">
        <v>20879</v>
      </c>
      <c r="U27" s="19">
        <f t="shared" si="32"/>
        <v>64351</v>
      </c>
      <c r="V27" s="23">
        <v>12000</v>
      </c>
      <c r="W27" s="23">
        <f>29611+7026</f>
        <v>36637</v>
      </c>
      <c r="X27" s="23">
        <v>8752</v>
      </c>
      <c r="Y27" s="23">
        <v>2260</v>
      </c>
      <c r="Z27" s="23">
        <v>4702</v>
      </c>
      <c r="AA27" s="23">
        <v>0</v>
      </c>
      <c r="AB27" s="23">
        <v>0</v>
      </c>
      <c r="AC27" s="23">
        <v>0</v>
      </c>
      <c r="AD27" s="24">
        <v>0</v>
      </c>
      <c r="AE27" s="19">
        <f t="shared" si="33"/>
        <v>139845</v>
      </c>
      <c r="AF27" s="19">
        <v>0</v>
      </c>
      <c r="AG27" s="24">
        <v>0</v>
      </c>
      <c r="AH27" s="23">
        <v>1297</v>
      </c>
      <c r="AI27" s="23">
        <v>0</v>
      </c>
      <c r="AJ27" s="23">
        <v>0</v>
      </c>
      <c r="AK27" s="23">
        <v>140</v>
      </c>
      <c r="AL27" s="23">
        <v>0</v>
      </c>
      <c r="AM27" s="23">
        <v>0</v>
      </c>
      <c r="AN27" s="23">
        <v>25000</v>
      </c>
      <c r="AO27" s="23">
        <v>12212</v>
      </c>
      <c r="AP27" s="23">
        <v>0</v>
      </c>
      <c r="AQ27" s="23"/>
      <c r="AR27" s="23">
        <v>0</v>
      </c>
      <c r="AS27" s="23">
        <v>101196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19">
        <f t="shared" si="34"/>
        <v>4083</v>
      </c>
      <c r="BC27" s="19">
        <f t="shared" si="35"/>
        <v>0</v>
      </c>
      <c r="BD27" s="19">
        <v>0</v>
      </c>
      <c r="BE27" s="19">
        <v>0</v>
      </c>
      <c r="BF27" s="19">
        <v>0</v>
      </c>
      <c r="BG27" s="19">
        <f t="shared" si="36"/>
        <v>0</v>
      </c>
      <c r="BH27" s="19">
        <v>0</v>
      </c>
      <c r="BI27" s="19">
        <v>0</v>
      </c>
      <c r="BJ27" s="19">
        <v>0</v>
      </c>
      <c r="BK27" s="19">
        <v>0</v>
      </c>
      <c r="BL27" s="19">
        <f t="shared" si="9"/>
        <v>0</v>
      </c>
      <c r="BM27" s="19">
        <v>0</v>
      </c>
      <c r="BN27" s="19">
        <v>0</v>
      </c>
      <c r="BO27" s="19">
        <f t="shared" si="37"/>
        <v>4083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19">
        <v>0</v>
      </c>
      <c r="BY27" s="23">
        <f>4601-518</f>
        <v>4083</v>
      </c>
      <c r="BZ27" s="19">
        <v>0</v>
      </c>
      <c r="CA27" s="19">
        <f t="shared" si="38"/>
        <v>221550</v>
      </c>
      <c r="CB27" s="19">
        <f t="shared" si="39"/>
        <v>221550</v>
      </c>
      <c r="CC27" s="19">
        <f t="shared" si="10"/>
        <v>221550</v>
      </c>
      <c r="CD27" s="19">
        <v>0</v>
      </c>
      <c r="CE27" s="23">
        <f>504206-282656</f>
        <v>221550</v>
      </c>
      <c r="CF27" s="19">
        <f t="shared" si="40"/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v>0</v>
      </c>
      <c r="CL27" s="19">
        <f t="shared" si="41"/>
        <v>0</v>
      </c>
      <c r="CM27" s="19">
        <v>0</v>
      </c>
      <c r="CN27" s="19">
        <v>0</v>
      </c>
      <c r="CO27" s="19">
        <v>0</v>
      </c>
      <c r="CP27" s="19"/>
      <c r="CQ27" s="19"/>
      <c r="CR27" s="19"/>
      <c r="CS27" s="19"/>
      <c r="CT27" s="19">
        <v>0</v>
      </c>
      <c r="CU27" s="19"/>
      <c r="CV27" s="19"/>
      <c r="CW27" s="19"/>
      <c r="CX27" s="19">
        <f t="shared" si="11"/>
        <v>0</v>
      </c>
      <c r="CY27" s="19">
        <f t="shared" si="12"/>
        <v>0</v>
      </c>
      <c r="CZ27" s="19">
        <v>0</v>
      </c>
      <c r="DA27" s="20">
        <v>0</v>
      </c>
    </row>
    <row r="28" spans="1:106" ht="31.5" x14ac:dyDescent="0.25">
      <c r="A28" s="72" t="s">
        <v>1</v>
      </c>
      <c r="B28" s="21" t="s">
        <v>100</v>
      </c>
      <c r="C28" s="22" t="s">
        <v>471</v>
      </c>
      <c r="D28" s="18">
        <f t="shared" si="29"/>
        <v>6160277</v>
      </c>
      <c r="E28" s="19">
        <f t="shared" si="30"/>
        <v>5934364</v>
      </c>
      <c r="F28" s="19">
        <f t="shared" si="31"/>
        <v>5934364</v>
      </c>
      <c r="G28" s="23">
        <v>4124316</v>
      </c>
      <c r="H28" s="23">
        <v>982126</v>
      </c>
      <c r="I28" s="19">
        <f t="shared" si="7"/>
        <v>594514</v>
      </c>
      <c r="J28" s="23">
        <v>0</v>
      </c>
      <c r="K28" s="23">
        <v>96800</v>
      </c>
      <c r="L28" s="23"/>
      <c r="M28" s="23"/>
      <c r="N28" s="23">
        <v>430748</v>
      </c>
      <c r="O28" s="23">
        <v>66966</v>
      </c>
      <c r="P28" s="19">
        <f t="shared" si="8"/>
        <v>0</v>
      </c>
      <c r="Q28" s="23">
        <v>0</v>
      </c>
      <c r="R28" s="23">
        <v>0</v>
      </c>
      <c r="S28" s="23">
        <v>0</v>
      </c>
      <c r="T28" s="23">
        <v>49557</v>
      </c>
      <c r="U28" s="19">
        <f t="shared" si="32"/>
        <v>80095</v>
      </c>
      <c r="V28" s="23">
        <v>0</v>
      </c>
      <c r="W28" s="23">
        <v>49237</v>
      </c>
      <c r="X28" s="23">
        <v>25076</v>
      </c>
      <c r="Y28" s="23">
        <v>1540</v>
      </c>
      <c r="Z28" s="23">
        <v>4242</v>
      </c>
      <c r="AA28" s="23">
        <v>0</v>
      </c>
      <c r="AB28" s="23">
        <v>0</v>
      </c>
      <c r="AC28" s="23">
        <v>0</v>
      </c>
      <c r="AD28" s="24">
        <v>0</v>
      </c>
      <c r="AE28" s="19">
        <f t="shared" si="33"/>
        <v>103756</v>
      </c>
      <c r="AF28" s="19">
        <v>0</v>
      </c>
      <c r="AG28" s="24">
        <v>0</v>
      </c>
      <c r="AH28" s="23">
        <v>3300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8730</v>
      </c>
      <c r="AP28" s="23">
        <v>0</v>
      </c>
      <c r="AQ28" s="23"/>
      <c r="AR28" s="23">
        <v>0</v>
      </c>
      <c r="AS28" s="23">
        <v>485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23">
        <v>91241</v>
      </c>
      <c r="BB28" s="19">
        <f t="shared" si="34"/>
        <v>0</v>
      </c>
      <c r="BC28" s="19">
        <f t="shared" si="35"/>
        <v>0</v>
      </c>
      <c r="BD28" s="19">
        <v>0</v>
      </c>
      <c r="BE28" s="19">
        <v>0</v>
      </c>
      <c r="BF28" s="19">
        <v>0</v>
      </c>
      <c r="BG28" s="19">
        <f t="shared" si="36"/>
        <v>0</v>
      </c>
      <c r="BH28" s="19">
        <v>0</v>
      </c>
      <c r="BI28" s="19">
        <v>0</v>
      </c>
      <c r="BJ28" s="19">
        <v>0</v>
      </c>
      <c r="BK28" s="19">
        <v>0</v>
      </c>
      <c r="BL28" s="19">
        <f t="shared" si="9"/>
        <v>0</v>
      </c>
      <c r="BM28" s="19">
        <v>0</v>
      </c>
      <c r="BN28" s="19">
        <v>0</v>
      </c>
      <c r="BO28" s="19">
        <f t="shared" si="37"/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19">
        <v>0</v>
      </c>
      <c r="BY28" s="23">
        <v>0</v>
      </c>
      <c r="BZ28" s="19">
        <v>0</v>
      </c>
      <c r="CA28" s="19">
        <f t="shared" si="38"/>
        <v>225913</v>
      </c>
      <c r="CB28" s="19">
        <f t="shared" si="39"/>
        <v>225913</v>
      </c>
      <c r="CC28" s="19">
        <f t="shared" si="10"/>
        <v>225913</v>
      </c>
      <c r="CD28" s="19">
        <v>0</v>
      </c>
      <c r="CE28" s="23">
        <v>225913</v>
      </c>
      <c r="CF28" s="19">
        <f t="shared" si="40"/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f t="shared" si="41"/>
        <v>0</v>
      </c>
      <c r="CM28" s="19">
        <v>0</v>
      </c>
      <c r="CN28" s="19">
        <v>0</v>
      </c>
      <c r="CO28" s="19">
        <v>0</v>
      </c>
      <c r="CP28" s="19"/>
      <c r="CQ28" s="19"/>
      <c r="CR28" s="19"/>
      <c r="CS28" s="19"/>
      <c r="CT28" s="19">
        <v>0</v>
      </c>
      <c r="CU28" s="19"/>
      <c r="CV28" s="19"/>
      <c r="CW28" s="19"/>
      <c r="CX28" s="19">
        <f t="shared" si="11"/>
        <v>0</v>
      </c>
      <c r="CY28" s="19">
        <f t="shared" si="12"/>
        <v>0</v>
      </c>
      <c r="CZ28" s="19">
        <v>0</v>
      </c>
      <c r="DA28" s="20">
        <v>0</v>
      </c>
    </row>
    <row r="29" spans="1:106" ht="15.75" x14ac:dyDescent="0.25">
      <c r="A29" s="72" t="s">
        <v>1</v>
      </c>
      <c r="B29" s="21" t="s">
        <v>101</v>
      </c>
      <c r="C29" s="22" t="s">
        <v>102</v>
      </c>
      <c r="D29" s="18">
        <f t="shared" si="29"/>
        <v>951864</v>
      </c>
      <c r="E29" s="19">
        <f t="shared" si="30"/>
        <v>925264</v>
      </c>
      <c r="F29" s="19">
        <f t="shared" si="31"/>
        <v>920663</v>
      </c>
      <c r="G29" s="23">
        <v>652147</v>
      </c>
      <c r="H29" s="23">
        <v>147450</v>
      </c>
      <c r="I29" s="19">
        <f t="shared" si="7"/>
        <v>16736</v>
      </c>
      <c r="J29" s="23">
        <v>0</v>
      </c>
      <c r="K29" s="23"/>
      <c r="L29" s="23"/>
      <c r="M29" s="23"/>
      <c r="N29" s="23">
        <v>0</v>
      </c>
      <c r="O29" s="23">
        <v>16736</v>
      </c>
      <c r="P29" s="19">
        <f t="shared" si="8"/>
        <v>0</v>
      </c>
      <c r="Q29" s="23">
        <v>0</v>
      </c>
      <c r="R29" s="23">
        <v>0</v>
      </c>
      <c r="S29" s="23">
        <v>0</v>
      </c>
      <c r="T29" s="23">
        <v>12000</v>
      </c>
      <c r="U29" s="19">
        <f t="shared" si="32"/>
        <v>11945</v>
      </c>
      <c r="V29" s="23">
        <v>3060</v>
      </c>
      <c r="W29" s="23">
        <v>4610</v>
      </c>
      <c r="X29" s="23">
        <v>3028</v>
      </c>
      <c r="Y29" s="23">
        <v>593</v>
      </c>
      <c r="Z29" s="23">
        <v>654</v>
      </c>
      <c r="AA29" s="23">
        <v>0</v>
      </c>
      <c r="AB29" s="23">
        <v>0</v>
      </c>
      <c r="AC29" s="23">
        <v>0</v>
      </c>
      <c r="AD29" s="24">
        <v>0</v>
      </c>
      <c r="AE29" s="19">
        <f t="shared" si="33"/>
        <v>80385</v>
      </c>
      <c r="AF29" s="19">
        <v>0</v>
      </c>
      <c r="AG29" s="24">
        <v>0</v>
      </c>
      <c r="AH29" s="23">
        <v>919</v>
      </c>
      <c r="AI29" s="23">
        <v>0</v>
      </c>
      <c r="AJ29" s="23">
        <v>0</v>
      </c>
      <c r="AK29" s="23">
        <v>275</v>
      </c>
      <c r="AL29" s="23">
        <v>0</v>
      </c>
      <c r="AM29" s="23">
        <v>0</v>
      </c>
      <c r="AN29" s="23">
        <v>0</v>
      </c>
      <c r="AO29" s="23">
        <v>8730</v>
      </c>
      <c r="AP29" s="23">
        <v>0</v>
      </c>
      <c r="AQ29" s="23"/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63644</v>
      </c>
      <c r="BA29" s="23">
        <v>6817</v>
      </c>
      <c r="BB29" s="19">
        <f t="shared" si="34"/>
        <v>4601</v>
      </c>
      <c r="BC29" s="19">
        <f t="shared" si="35"/>
        <v>0</v>
      </c>
      <c r="BD29" s="19">
        <v>0</v>
      </c>
      <c r="BE29" s="19">
        <v>0</v>
      </c>
      <c r="BF29" s="19">
        <v>0</v>
      </c>
      <c r="BG29" s="19">
        <f t="shared" si="36"/>
        <v>0</v>
      </c>
      <c r="BH29" s="19">
        <v>0</v>
      </c>
      <c r="BI29" s="19">
        <v>0</v>
      </c>
      <c r="BJ29" s="19">
        <v>0</v>
      </c>
      <c r="BK29" s="19">
        <v>0</v>
      </c>
      <c r="BL29" s="19">
        <f t="shared" si="9"/>
        <v>0</v>
      </c>
      <c r="BM29" s="19">
        <v>0</v>
      </c>
      <c r="BN29" s="19">
        <v>0</v>
      </c>
      <c r="BO29" s="19">
        <f t="shared" si="37"/>
        <v>4601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19">
        <v>0</v>
      </c>
      <c r="BY29" s="23">
        <v>4601</v>
      </c>
      <c r="BZ29" s="19">
        <v>0</v>
      </c>
      <c r="CA29" s="19">
        <f t="shared" si="38"/>
        <v>26600</v>
      </c>
      <c r="CB29" s="19">
        <f t="shared" si="39"/>
        <v>26600</v>
      </c>
      <c r="CC29" s="19">
        <f t="shared" si="10"/>
        <v>26600</v>
      </c>
      <c r="CD29" s="19">
        <v>0</v>
      </c>
      <c r="CE29" s="23">
        <v>26600</v>
      </c>
      <c r="CF29" s="19">
        <f t="shared" si="40"/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v>0</v>
      </c>
      <c r="CL29" s="19">
        <f t="shared" si="41"/>
        <v>0</v>
      </c>
      <c r="CM29" s="19">
        <v>0</v>
      </c>
      <c r="CN29" s="19">
        <v>0</v>
      </c>
      <c r="CO29" s="19">
        <v>0</v>
      </c>
      <c r="CP29" s="19"/>
      <c r="CQ29" s="19"/>
      <c r="CR29" s="19"/>
      <c r="CS29" s="19"/>
      <c r="CT29" s="19">
        <v>0</v>
      </c>
      <c r="CU29" s="19"/>
      <c r="CV29" s="19"/>
      <c r="CW29" s="19"/>
      <c r="CX29" s="19">
        <f t="shared" si="11"/>
        <v>0</v>
      </c>
      <c r="CY29" s="19">
        <f t="shared" si="12"/>
        <v>0</v>
      </c>
      <c r="CZ29" s="19">
        <v>0</v>
      </c>
      <c r="DA29" s="20">
        <v>0</v>
      </c>
    </row>
    <row r="30" spans="1:106" ht="31.5" x14ac:dyDescent="0.25">
      <c r="A30" s="72" t="s">
        <v>1</v>
      </c>
      <c r="B30" s="21" t="s">
        <v>104</v>
      </c>
      <c r="C30" s="22" t="s">
        <v>105</v>
      </c>
      <c r="D30" s="18">
        <f t="shared" si="29"/>
        <v>7023535</v>
      </c>
      <c r="E30" s="19">
        <f t="shared" si="30"/>
        <v>6235686</v>
      </c>
      <c r="F30" s="19">
        <f t="shared" si="31"/>
        <v>6235686</v>
      </c>
      <c r="G30" s="23">
        <v>4111834</v>
      </c>
      <c r="H30" s="23">
        <v>972986</v>
      </c>
      <c r="I30" s="19">
        <f t="shared" si="7"/>
        <v>326490</v>
      </c>
      <c r="J30" s="23">
        <v>0</v>
      </c>
      <c r="K30" s="23"/>
      <c r="L30" s="23"/>
      <c r="M30" s="23"/>
      <c r="N30" s="23">
        <v>114992</v>
      </c>
      <c r="O30" s="23">
        <v>211498</v>
      </c>
      <c r="P30" s="19">
        <f t="shared" si="8"/>
        <v>380</v>
      </c>
      <c r="Q30" s="23">
        <v>0</v>
      </c>
      <c r="R30" s="23">
        <v>380</v>
      </c>
      <c r="S30" s="23">
        <v>0</v>
      </c>
      <c r="T30" s="23">
        <v>68115</v>
      </c>
      <c r="U30" s="19">
        <f t="shared" si="32"/>
        <v>191583</v>
      </c>
      <c r="V30" s="23">
        <v>17114</v>
      </c>
      <c r="W30" s="23">
        <v>85364</v>
      </c>
      <c r="X30" s="23">
        <v>79400</v>
      </c>
      <c r="Y30" s="23">
        <v>7004</v>
      </c>
      <c r="Z30" s="23">
        <v>2701</v>
      </c>
      <c r="AA30" s="23">
        <v>0</v>
      </c>
      <c r="AB30" s="23">
        <v>0</v>
      </c>
      <c r="AC30" s="23">
        <v>0</v>
      </c>
      <c r="AD30" s="24">
        <v>0</v>
      </c>
      <c r="AE30" s="19">
        <f t="shared" si="33"/>
        <v>564298</v>
      </c>
      <c r="AF30" s="19">
        <v>0</v>
      </c>
      <c r="AG30" s="24">
        <v>0</v>
      </c>
      <c r="AH30" s="23">
        <v>23223</v>
      </c>
      <c r="AI30" s="23">
        <v>189624</v>
      </c>
      <c r="AJ30" s="23">
        <v>0</v>
      </c>
      <c r="AK30" s="23">
        <v>1029</v>
      </c>
      <c r="AL30" s="23">
        <v>0</v>
      </c>
      <c r="AM30" s="23">
        <v>77</v>
      </c>
      <c r="AN30" s="23">
        <v>0</v>
      </c>
      <c r="AO30" s="23">
        <v>21534</v>
      </c>
      <c r="AP30" s="23">
        <v>0</v>
      </c>
      <c r="AQ30" s="23"/>
      <c r="AR30" s="23">
        <v>0</v>
      </c>
      <c r="AS30" s="23">
        <v>95169</v>
      </c>
      <c r="AT30" s="23">
        <v>69300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115938</v>
      </c>
      <c r="BA30" s="23">
        <v>48404</v>
      </c>
      <c r="BB30" s="19">
        <f t="shared" si="34"/>
        <v>0</v>
      </c>
      <c r="BC30" s="19">
        <f t="shared" si="35"/>
        <v>0</v>
      </c>
      <c r="BD30" s="19">
        <v>0</v>
      </c>
      <c r="BE30" s="19">
        <v>0</v>
      </c>
      <c r="BF30" s="19">
        <v>0</v>
      </c>
      <c r="BG30" s="19">
        <f t="shared" si="36"/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f t="shared" si="9"/>
        <v>0</v>
      </c>
      <c r="BM30" s="19">
        <v>0</v>
      </c>
      <c r="BN30" s="19">
        <v>0</v>
      </c>
      <c r="BO30" s="19">
        <f t="shared" si="37"/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19">
        <v>0</v>
      </c>
      <c r="BY30" s="23">
        <v>0</v>
      </c>
      <c r="BZ30" s="19">
        <v>0</v>
      </c>
      <c r="CA30" s="19">
        <f t="shared" si="38"/>
        <v>787849</v>
      </c>
      <c r="CB30" s="19">
        <f t="shared" si="39"/>
        <v>787849</v>
      </c>
      <c r="CC30" s="19">
        <f t="shared" si="10"/>
        <v>397327</v>
      </c>
      <c r="CD30" s="19">
        <v>0</v>
      </c>
      <c r="CE30" s="23">
        <v>397327</v>
      </c>
      <c r="CF30" s="19">
        <f t="shared" si="40"/>
        <v>212556</v>
      </c>
      <c r="CG30" s="19">
        <v>0</v>
      </c>
      <c r="CH30" s="19">
        <v>0</v>
      </c>
      <c r="CI30" s="19">
        <v>212556</v>
      </c>
      <c r="CJ30" s="19">
        <v>0</v>
      </c>
      <c r="CK30" s="19">
        <v>0</v>
      </c>
      <c r="CL30" s="19">
        <f t="shared" si="41"/>
        <v>177966</v>
      </c>
      <c r="CM30" s="19">
        <v>0</v>
      </c>
      <c r="CN30" s="19">
        <v>0</v>
      </c>
      <c r="CO30" s="19">
        <v>177966</v>
      </c>
      <c r="CP30" s="19"/>
      <c r="CQ30" s="19"/>
      <c r="CR30" s="19"/>
      <c r="CS30" s="19"/>
      <c r="CT30" s="19">
        <v>0</v>
      </c>
      <c r="CU30" s="19"/>
      <c r="CV30" s="19"/>
      <c r="CW30" s="19"/>
      <c r="CX30" s="19">
        <f t="shared" si="11"/>
        <v>0</v>
      </c>
      <c r="CY30" s="19">
        <f t="shared" si="12"/>
        <v>0</v>
      </c>
      <c r="CZ30" s="19">
        <v>0</v>
      </c>
      <c r="DA30" s="20">
        <v>0</v>
      </c>
    </row>
    <row r="31" spans="1:106" s="86" customFormat="1" ht="31.5" x14ac:dyDescent="0.25">
      <c r="A31" s="71" t="s">
        <v>106</v>
      </c>
      <c r="B31" s="16" t="s">
        <v>1</v>
      </c>
      <c r="C31" s="17" t="s">
        <v>107</v>
      </c>
      <c r="D31" s="18">
        <f>SUM(D32)</f>
        <v>49575508</v>
      </c>
      <c r="E31" s="18">
        <f t="shared" ref="E31:BU31" si="42">SUM(E32)</f>
        <v>46844676</v>
      </c>
      <c r="F31" s="18">
        <f t="shared" si="42"/>
        <v>44535974</v>
      </c>
      <c r="G31" s="18">
        <f t="shared" si="42"/>
        <v>35265853</v>
      </c>
      <c r="H31" s="18">
        <f t="shared" si="42"/>
        <v>3541522</v>
      </c>
      <c r="I31" s="18">
        <f t="shared" si="42"/>
        <v>2225292</v>
      </c>
      <c r="J31" s="18">
        <f t="shared" si="42"/>
        <v>0</v>
      </c>
      <c r="K31" s="18">
        <f t="shared" si="42"/>
        <v>318034</v>
      </c>
      <c r="L31" s="18">
        <f t="shared" si="42"/>
        <v>0</v>
      </c>
      <c r="M31" s="18">
        <f t="shared" si="42"/>
        <v>0</v>
      </c>
      <c r="N31" s="18">
        <f t="shared" si="42"/>
        <v>841458</v>
      </c>
      <c r="O31" s="18">
        <f t="shared" si="42"/>
        <v>1065800</v>
      </c>
      <c r="P31" s="18">
        <f t="shared" si="42"/>
        <v>0</v>
      </c>
      <c r="Q31" s="18">
        <f t="shared" si="42"/>
        <v>0</v>
      </c>
      <c r="R31" s="18">
        <f t="shared" si="42"/>
        <v>0</v>
      </c>
      <c r="S31" s="18">
        <f t="shared" si="42"/>
        <v>0</v>
      </c>
      <c r="T31" s="18">
        <f t="shared" si="42"/>
        <v>648889</v>
      </c>
      <c r="U31" s="18">
        <f t="shared" si="42"/>
        <v>776740</v>
      </c>
      <c r="V31" s="18">
        <f t="shared" si="42"/>
        <v>339538</v>
      </c>
      <c r="W31" s="18">
        <f t="shared" si="42"/>
        <v>74127</v>
      </c>
      <c r="X31" s="18">
        <f t="shared" si="42"/>
        <v>280004</v>
      </c>
      <c r="Y31" s="18">
        <f t="shared" si="42"/>
        <v>36021</v>
      </c>
      <c r="Z31" s="18">
        <f t="shared" si="42"/>
        <v>17713</v>
      </c>
      <c r="AA31" s="18">
        <f t="shared" si="42"/>
        <v>0</v>
      </c>
      <c r="AB31" s="18">
        <f t="shared" si="42"/>
        <v>0</v>
      </c>
      <c r="AC31" s="18">
        <f t="shared" si="42"/>
        <v>29337</v>
      </c>
      <c r="AD31" s="18">
        <f t="shared" si="42"/>
        <v>0</v>
      </c>
      <c r="AE31" s="18">
        <f t="shared" si="42"/>
        <v>2077678</v>
      </c>
      <c r="AF31" s="18">
        <f t="shared" si="42"/>
        <v>0</v>
      </c>
      <c r="AG31" s="18">
        <f t="shared" si="42"/>
        <v>0</v>
      </c>
      <c r="AH31" s="18">
        <f t="shared" si="42"/>
        <v>125000</v>
      </c>
      <c r="AI31" s="18">
        <f t="shared" si="42"/>
        <v>237139</v>
      </c>
      <c r="AJ31" s="18">
        <f t="shared" si="42"/>
        <v>0</v>
      </c>
      <c r="AK31" s="18">
        <f t="shared" si="42"/>
        <v>43024</v>
      </c>
      <c r="AL31" s="18">
        <f t="shared" si="42"/>
        <v>4005</v>
      </c>
      <c r="AM31" s="18">
        <f t="shared" si="42"/>
        <v>13561</v>
      </c>
      <c r="AN31" s="18">
        <f t="shared" si="42"/>
        <v>0</v>
      </c>
      <c r="AO31" s="18">
        <f t="shared" si="42"/>
        <v>22407</v>
      </c>
      <c r="AP31" s="18">
        <f t="shared" si="42"/>
        <v>0</v>
      </c>
      <c r="AQ31" s="18"/>
      <c r="AR31" s="18">
        <f t="shared" si="42"/>
        <v>0</v>
      </c>
      <c r="AS31" s="18">
        <f t="shared" si="42"/>
        <v>77117</v>
      </c>
      <c r="AT31" s="18">
        <f t="shared" si="42"/>
        <v>0</v>
      </c>
      <c r="AU31" s="18"/>
      <c r="AV31" s="18"/>
      <c r="AW31" s="18">
        <f t="shared" si="42"/>
        <v>0</v>
      </c>
      <c r="AX31" s="18">
        <f t="shared" si="42"/>
        <v>1016988</v>
      </c>
      <c r="AY31" s="18">
        <f t="shared" si="42"/>
        <v>0</v>
      </c>
      <c r="AZ31" s="18"/>
      <c r="BA31" s="18">
        <f t="shared" si="42"/>
        <v>538437</v>
      </c>
      <c r="BB31" s="18">
        <f t="shared" si="42"/>
        <v>2308702</v>
      </c>
      <c r="BC31" s="18">
        <f t="shared" si="42"/>
        <v>0</v>
      </c>
      <c r="BD31" s="18">
        <f t="shared" si="42"/>
        <v>0</v>
      </c>
      <c r="BE31" s="18">
        <f t="shared" si="42"/>
        <v>0</v>
      </c>
      <c r="BF31" s="18">
        <f t="shared" si="42"/>
        <v>0</v>
      </c>
      <c r="BG31" s="18">
        <f t="shared" si="42"/>
        <v>0</v>
      </c>
      <c r="BH31" s="18">
        <f t="shared" si="42"/>
        <v>0</v>
      </c>
      <c r="BI31" s="18">
        <f t="shared" si="42"/>
        <v>0</v>
      </c>
      <c r="BJ31" s="18">
        <f t="shared" si="42"/>
        <v>0</v>
      </c>
      <c r="BK31" s="18">
        <f t="shared" si="42"/>
        <v>0</v>
      </c>
      <c r="BL31" s="18">
        <f t="shared" si="42"/>
        <v>0</v>
      </c>
      <c r="BM31" s="18">
        <f t="shared" si="42"/>
        <v>0</v>
      </c>
      <c r="BN31" s="18">
        <f t="shared" si="42"/>
        <v>0</v>
      </c>
      <c r="BO31" s="18">
        <f t="shared" si="42"/>
        <v>2308702</v>
      </c>
      <c r="BP31" s="18">
        <f t="shared" si="42"/>
        <v>0</v>
      </c>
      <c r="BQ31" s="18">
        <f t="shared" si="42"/>
        <v>0</v>
      </c>
      <c r="BR31" s="18">
        <f t="shared" si="42"/>
        <v>0</v>
      </c>
      <c r="BS31" s="18">
        <f t="shared" si="42"/>
        <v>0</v>
      </c>
      <c r="BT31" s="18">
        <f t="shared" si="42"/>
        <v>0</v>
      </c>
      <c r="BU31" s="18">
        <f t="shared" si="42"/>
        <v>0</v>
      </c>
      <c r="BV31" s="18">
        <f t="shared" ref="BV31:DA31" si="43">SUM(BV32)</f>
        <v>0</v>
      </c>
      <c r="BW31" s="18">
        <f t="shared" si="43"/>
        <v>0</v>
      </c>
      <c r="BX31" s="18">
        <f t="shared" si="43"/>
        <v>0</v>
      </c>
      <c r="BY31" s="18">
        <f t="shared" si="43"/>
        <v>2308702</v>
      </c>
      <c r="BZ31" s="18">
        <f t="shared" si="43"/>
        <v>0</v>
      </c>
      <c r="CA31" s="18">
        <f t="shared" si="43"/>
        <v>2730832</v>
      </c>
      <c r="CB31" s="18">
        <f t="shared" si="43"/>
        <v>2730832</v>
      </c>
      <c r="CC31" s="18">
        <f t="shared" si="43"/>
        <v>1397780</v>
      </c>
      <c r="CD31" s="18">
        <f t="shared" si="43"/>
        <v>0</v>
      </c>
      <c r="CE31" s="18">
        <f t="shared" si="43"/>
        <v>1397780</v>
      </c>
      <c r="CF31" s="18">
        <f t="shared" si="43"/>
        <v>0</v>
      </c>
      <c r="CG31" s="18">
        <f t="shared" si="43"/>
        <v>0</v>
      </c>
      <c r="CH31" s="18">
        <f t="shared" si="43"/>
        <v>0</v>
      </c>
      <c r="CI31" s="18">
        <f t="shared" si="43"/>
        <v>0</v>
      </c>
      <c r="CJ31" s="18">
        <f t="shared" si="43"/>
        <v>0</v>
      </c>
      <c r="CK31" s="18">
        <f t="shared" si="43"/>
        <v>0</v>
      </c>
      <c r="CL31" s="18">
        <f t="shared" si="43"/>
        <v>1333052</v>
      </c>
      <c r="CM31" s="18">
        <f t="shared" si="43"/>
        <v>0</v>
      </c>
      <c r="CN31" s="18">
        <f t="shared" si="43"/>
        <v>0</v>
      </c>
      <c r="CO31" s="18">
        <f t="shared" si="43"/>
        <v>1333052</v>
      </c>
      <c r="CP31" s="18"/>
      <c r="CQ31" s="18"/>
      <c r="CR31" s="18"/>
      <c r="CS31" s="18"/>
      <c r="CT31" s="18">
        <f t="shared" si="43"/>
        <v>0</v>
      </c>
      <c r="CU31" s="18"/>
      <c r="CV31" s="18"/>
      <c r="CW31" s="18"/>
      <c r="CX31" s="18">
        <f t="shared" si="43"/>
        <v>0</v>
      </c>
      <c r="CY31" s="18">
        <f t="shared" si="43"/>
        <v>0</v>
      </c>
      <c r="CZ31" s="18">
        <f t="shared" si="43"/>
        <v>0</v>
      </c>
      <c r="DA31" s="46">
        <f t="shared" si="43"/>
        <v>0</v>
      </c>
      <c r="DB31" s="85"/>
    </row>
    <row r="32" spans="1:106" ht="15.75" x14ac:dyDescent="0.25">
      <c r="A32" s="72" t="s">
        <v>1</v>
      </c>
      <c r="B32" s="21" t="s">
        <v>103</v>
      </c>
      <c r="C32" s="22" t="s">
        <v>499</v>
      </c>
      <c r="D32" s="18">
        <f>SUM(E32+CA32+CX32)</f>
        <v>49575508</v>
      </c>
      <c r="E32" s="19">
        <f>SUM(F32+BB32)</f>
        <v>46844676</v>
      </c>
      <c r="F32" s="19">
        <f>SUM(G32+H32+I32+P32+S32+T32+U32+AE32)</f>
        <v>44535974</v>
      </c>
      <c r="G32" s="23">
        <v>35265853</v>
      </c>
      <c r="H32" s="23">
        <v>3541522</v>
      </c>
      <c r="I32" s="19">
        <f t="shared" si="7"/>
        <v>2225292</v>
      </c>
      <c r="J32" s="39">
        <v>0</v>
      </c>
      <c r="K32" s="23">
        <f>350034-32000</f>
        <v>318034</v>
      </c>
      <c r="L32" s="23">
        <v>0</v>
      </c>
      <c r="M32" s="23">
        <v>0</v>
      </c>
      <c r="N32" s="23">
        <v>841458</v>
      </c>
      <c r="O32" s="23">
        <v>1065800</v>
      </c>
      <c r="P32" s="19">
        <f t="shared" si="8"/>
        <v>0</v>
      </c>
      <c r="Q32" s="23"/>
      <c r="R32" s="23"/>
      <c r="S32" s="23"/>
      <c r="T32" s="23">
        <f>825889-177000</f>
        <v>648889</v>
      </c>
      <c r="U32" s="19">
        <f>SUM(V32:AC32)</f>
        <v>776740</v>
      </c>
      <c r="V32" s="23">
        <v>339538</v>
      </c>
      <c r="W32" s="23">
        <f>67832+6295</f>
        <v>74127</v>
      </c>
      <c r="X32" s="23">
        <f>286498-6494</f>
        <v>280004</v>
      </c>
      <c r="Y32" s="23">
        <f>36741-720</f>
        <v>36021</v>
      </c>
      <c r="Z32" s="23">
        <v>17713</v>
      </c>
      <c r="AA32" s="23">
        <v>0</v>
      </c>
      <c r="AB32" s="23">
        <v>0</v>
      </c>
      <c r="AC32" s="23">
        <f>40101-10764</f>
        <v>29337</v>
      </c>
      <c r="AD32" s="19">
        <v>0</v>
      </c>
      <c r="AE32" s="19">
        <f>SUM(AF32:BA32)</f>
        <v>2077678</v>
      </c>
      <c r="AF32" s="19">
        <v>0</v>
      </c>
      <c r="AG32" s="19">
        <v>0</v>
      </c>
      <c r="AH32" s="23">
        <v>125000</v>
      </c>
      <c r="AI32" s="23">
        <v>237139</v>
      </c>
      <c r="AJ32" s="23">
        <v>0</v>
      </c>
      <c r="AK32" s="23">
        <v>43024</v>
      </c>
      <c r="AL32" s="23">
        <f>16972-12967</f>
        <v>4005</v>
      </c>
      <c r="AM32" s="23">
        <f>63561-50000</f>
        <v>13561</v>
      </c>
      <c r="AN32" s="23">
        <v>0</v>
      </c>
      <c r="AO32" s="23">
        <v>22407</v>
      </c>
      <c r="AP32" s="23">
        <v>0</v>
      </c>
      <c r="AQ32" s="23"/>
      <c r="AR32" s="23">
        <v>0</v>
      </c>
      <c r="AS32" s="23">
        <v>77117</v>
      </c>
      <c r="AT32" s="23">
        <v>0</v>
      </c>
      <c r="AU32" s="23">
        <v>0</v>
      </c>
      <c r="AV32" s="23">
        <v>0</v>
      </c>
      <c r="AW32" s="23">
        <v>0</v>
      </c>
      <c r="AX32" s="23">
        <v>1016988</v>
      </c>
      <c r="AY32" s="23">
        <v>0</v>
      </c>
      <c r="AZ32" s="23">
        <v>0</v>
      </c>
      <c r="BA32" s="23">
        <v>538437</v>
      </c>
      <c r="BB32" s="19">
        <f>SUM(BC32+BG32+BJ32+BL32+BO32)</f>
        <v>2308702</v>
      </c>
      <c r="BC32" s="19">
        <f>SUM(BD32:BF32)</f>
        <v>0</v>
      </c>
      <c r="BD32" s="19">
        <v>0</v>
      </c>
      <c r="BE32" s="19">
        <v>0</v>
      </c>
      <c r="BF32" s="19">
        <v>0</v>
      </c>
      <c r="BG32" s="19">
        <f>SUM(BI32:BI32)</f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f t="shared" si="9"/>
        <v>0</v>
      </c>
      <c r="BM32" s="19">
        <v>0</v>
      </c>
      <c r="BN32" s="19">
        <v>0</v>
      </c>
      <c r="BO32" s="19">
        <f>SUM(BP32:BZ32)</f>
        <v>2308702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23">
        <v>2308702</v>
      </c>
      <c r="BZ32" s="19">
        <v>0</v>
      </c>
      <c r="CA32" s="19">
        <f>SUM(CB32+CT32)</f>
        <v>2730832</v>
      </c>
      <c r="CB32" s="19">
        <f>SUM(CC32+CF32+CL32)</f>
        <v>2730832</v>
      </c>
      <c r="CC32" s="19">
        <f t="shared" si="10"/>
        <v>1397780</v>
      </c>
      <c r="CD32" s="19">
        <v>0</v>
      </c>
      <c r="CE32" s="23">
        <v>1397780</v>
      </c>
      <c r="CF32" s="19">
        <f>SUM(CG32:CK32)</f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f>SUM(CM32:CQ32)</f>
        <v>1333052</v>
      </c>
      <c r="CM32" s="19"/>
      <c r="CN32" s="19"/>
      <c r="CO32" s="23">
        <v>1333052</v>
      </c>
      <c r="CP32" s="19"/>
      <c r="CQ32" s="19"/>
      <c r="CR32" s="19"/>
      <c r="CS32" s="19"/>
      <c r="CT32" s="19">
        <v>0</v>
      </c>
      <c r="CU32" s="19"/>
      <c r="CV32" s="19"/>
      <c r="CW32" s="19"/>
      <c r="CX32" s="19">
        <f t="shared" si="11"/>
        <v>0</v>
      </c>
      <c r="CY32" s="19">
        <f t="shared" si="12"/>
        <v>0</v>
      </c>
      <c r="CZ32" s="19">
        <v>0</v>
      </c>
      <c r="DA32" s="20">
        <v>0</v>
      </c>
    </row>
    <row r="33" spans="1:106" s="86" customFormat="1" ht="31.5" x14ac:dyDescent="0.25">
      <c r="A33" s="71" t="s">
        <v>108</v>
      </c>
      <c r="B33" s="16" t="s">
        <v>1</v>
      </c>
      <c r="C33" s="17" t="s">
        <v>109</v>
      </c>
      <c r="D33" s="18">
        <f t="shared" ref="D33:AT33" si="44">SUM(D34:D37)</f>
        <v>18405528</v>
      </c>
      <c r="E33" s="18">
        <f t="shared" si="44"/>
        <v>18257299</v>
      </c>
      <c r="F33" s="18">
        <f t="shared" si="44"/>
        <v>18257299</v>
      </c>
      <c r="G33" s="18">
        <f t="shared" si="44"/>
        <v>12764788</v>
      </c>
      <c r="H33" s="18">
        <f t="shared" si="44"/>
        <v>3113182</v>
      </c>
      <c r="I33" s="18">
        <f t="shared" si="44"/>
        <v>623369</v>
      </c>
      <c r="J33" s="18">
        <f t="shared" si="44"/>
        <v>0</v>
      </c>
      <c r="K33" s="18">
        <f t="shared" si="44"/>
        <v>0</v>
      </c>
      <c r="L33" s="18">
        <f t="shared" si="44"/>
        <v>0</v>
      </c>
      <c r="M33" s="18">
        <f t="shared" si="44"/>
        <v>0</v>
      </c>
      <c r="N33" s="18">
        <f t="shared" si="44"/>
        <v>290758</v>
      </c>
      <c r="O33" s="18">
        <f t="shared" si="44"/>
        <v>332611</v>
      </c>
      <c r="P33" s="18">
        <f t="shared" si="44"/>
        <v>109405</v>
      </c>
      <c r="Q33" s="18">
        <f t="shared" si="44"/>
        <v>11795</v>
      </c>
      <c r="R33" s="18">
        <f t="shared" si="44"/>
        <v>97610</v>
      </c>
      <c r="S33" s="18">
        <f t="shared" si="44"/>
        <v>35000</v>
      </c>
      <c r="T33" s="18">
        <f t="shared" si="44"/>
        <v>258355</v>
      </c>
      <c r="U33" s="18">
        <f t="shared" si="44"/>
        <v>632242</v>
      </c>
      <c r="V33" s="18">
        <f t="shared" si="44"/>
        <v>62922</v>
      </c>
      <c r="W33" s="18">
        <f t="shared" si="44"/>
        <v>82625</v>
      </c>
      <c r="X33" s="18">
        <f t="shared" si="44"/>
        <v>81112</v>
      </c>
      <c r="Y33" s="18">
        <f t="shared" si="44"/>
        <v>16832</v>
      </c>
      <c r="Z33" s="18">
        <f t="shared" si="44"/>
        <v>13337</v>
      </c>
      <c r="AA33" s="18">
        <f t="shared" si="44"/>
        <v>363982</v>
      </c>
      <c r="AB33" s="18">
        <f t="shared" si="44"/>
        <v>0</v>
      </c>
      <c r="AC33" s="18">
        <f t="shared" si="44"/>
        <v>11432</v>
      </c>
      <c r="AD33" s="18">
        <f t="shared" ref="AD33" si="45">SUM(AD34:AD37)</f>
        <v>0</v>
      </c>
      <c r="AE33" s="18">
        <f t="shared" si="44"/>
        <v>720958</v>
      </c>
      <c r="AF33" s="18">
        <f t="shared" si="44"/>
        <v>0</v>
      </c>
      <c r="AG33" s="18">
        <f t="shared" si="44"/>
        <v>0</v>
      </c>
      <c r="AH33" s="18">
        <f t="shared" si="44"/>
        <v>42881</v>
      </c>
      <c r="AI33" s="18">
        <f t="shared" si="44"/>
        <v>231405</v>
      </c>
      <c r="AJ33" s="18">
        <f t="shared" si="44"/>
        <v>0</v>
      </c>
      <c r="AK33" s="18">
        <f t="shared" si="44"/>
        <v>8198</v>
      </c>
      <c r="AL33" s="18">
        <f t="shared" si="44"/>
        <v>505</v>
      </c>
      <c r="AM33" s="18">
        <f t="shared" si="44"/>
        <v>0</v>
      </c>
      <c r="AN33" s="18">
        <f t="shared" si="44"/>
        <v>93955</v>
      </c>
      <c r="AO33" s="18">
        <f t="shared" si="44"/>
        <v>5566</v>
      </c>
      <c r="AP33" s="18">
        <f t="shared" si="44"/>
        <v>1005</v>
      </c>
      <c r="AQ33" s="18"/>
      <c r="AR33" s="18">
        <f t="shared" si="44"/>
        <v>0</v>
      </c>
      <c r="AS33" s="18">
        <f t="shared" si="44"/>
        <v>66994</v>
      </c>
      <c r="AT33" s="18">
        <f t="shared" si="44"/>
        <v>0</v>
      </c>
      <c r="AU33" s="18"/>
      <c r="AV33" s="18"/>
      <c r="AW33" s="18">
        <f>SUM(AW34:AW37)</f>
        <v>0</v>
      </c>
      <c r="AX33" s="18">
        <f>SUM(AX34:AX37)</f>
        <v>0</v>
      </c>
      <c r="AY33" s="18">
        <f>SUM(AY34:AY37)</f>
        <v>153538</v>
      </c>
      <c r="AZ33" s="18"/>
      <c r="BA33" s="18">
        <f t="shared" ref="BA33:CO33" si="46">SUM(BA34:BA37)</f>
        <v>116911</v>
      </c>
      <c r="BB33" s="18">
        <f t="shared" si="46"/>
        <v>0</v>
      </c>
      <c r="BC33" s="18">
        <f t="shared" si="46"/>
        <v>0</v>
      </c>
      <c r="BD33" s="18">
        <f t="shared" si="46"/>
        <v>0</v>
      </c>
      <c r="BE33" s="18">
        <f t="shared" si="46"/>
        <v>0</v>
      </c>
      <c r="BF33" s="18">
        <f t="shared" si="46"/>
        <v>0</v>
      </c>
      <c r="BG33" s="18">
        <f t="shared" si="46"/>
        <v>0</v>
      </c>
      <c r="BH33" s="18">
        <f t="shared" si="46"/>
        <v>0</v>
      </c>
      <c r="BI33" s="18">
        <f t="shared" si="46"/>
        <v>0</v>
      </c>
      <c r="BJ33" s="18">
        <f t="shared" si="46"/>
        <v>0</v>
      </c>
      <c r="BK33" s="18">
        <f t="shared" ref="BK33" si="47">SUM(BK34:BK37)</f>
        <v>0</v>
      </c>
      <c r="BL33" s="18">
        <f t="shared" si="46"/>
        <v>0</v>
      </c>
      <c r="BM33" s="18">
        <f t="shared" si="46"/>
        <v>0</v>
      </c>
      <c r="BN33" s="18">
        <f t="shared" si="46"/>
        <v>0</v>
      </c>
      <c r="BO33" s="18">
        <f t="shared" si="46"/>
        <v>0</v>
      </c>
      <c r="BP33" s="18">
        <f t="shared" si="46"/>
        <v>0</v>
      </c>
      <c r="BQ33" s="18">
        <f t="shared" si="46"/>
        <v>0</v>
      </c>
      <c r="BR33" s="18">
        <f t="shared" si="46"/>
        <v>0</v>
      </c>
      <c r="BS33" s="18">
        <f t="shared" si="46"/>
        <v>0</v>
      </c>
      <c r="BT33" s="18">
        <f t="shared" si="46"/>
        <v>0</v>
      </c>
      <c r="BU33" s="18">
        <f t="shared" si="46"/>
        <v>0</v>
      </c>
      <c r="BV33" s="18">
        <f t="shared" si="46"/>
        <v>0</v>
      </c>
      <c r="BW33" s="18">
        <f t="shared" si="46"/>
        <v>0</v>
      </c>
      <c r="BX33" s="18">
        <f t="shared" si="46"/>
        <v>0</v>
      </c>
      <c r="BY33" s="18">
        <f t="shared" si="46"/>
        <v>0</v>
      </c>
      <c r="BZ33" s="18">
        <f t="shared" si="46"/>
        <v>0</v>
      </c>
      <c r="CA33" s="18">
        <f t="shared" si="46"/>
        <v>148229</v>
      </c>
      <c r="CB33" s="18">
        <f t="shared" si="46"/>
        <v>148229</v>
      </c>
      <c r="CC33" s="18">
        <f t="shared" si="46"/>
        <v>148229</v>
      </c>
      <c r="CD33" s="18">
        <f t="shared" si="46"/>
        <v>0</v>
      </c>
      <c r="CE33" s="18">
        <f t="shared" si="46"/>
        <v>148229</v>
      </c>
      <c r="CF33" s="18">
        <f t="shared" si="46"/>
        <v>0</v>
      </c>
      <c r="CG33" s="18">
        <f t="shared" si="46"/>
        <v>0</v>
      </c>
      <c r="CH33" s="18">
        <f t="shared" si="46"/>
        <v>0</v>
      </c>
      <c r="CI33" s="18">
        <f t="shared" si="46"/>
        <v>0</v>
      </c>
      <c r="CJ33" s="18">
        <f t="shared" si="46"/>
        <v>0</v>
      </c>
      <c r="CK33" s="18">
        <f t="shared" si="46"/>
        <v>0</v>
      </c>
      <c r="CL33" s="18">
        <f t="shared" si="46"/>
        <v>0</v>
      </c>
      <c r="CM33" s="18">
        <f t="shared" si="46"/>
        <v>0</v>
      </c>
      <c r="CN33" s="18">
        <f t="shared" si="46"/>
        <v>0</v>
      </c>
      <c r="CO33" s="18">
        <f t="shared" si="46"/>
        <v>0</v>
      </c>
      <c r="CP33" s="18"/>
      <c r="CQ33" s="18"/>
      <c r="CR33" s="18"/>
      <c r="CS33" s="18"/>
      <c r="CT33" s="18">
        <f>SUM(CT34:CT37)</f>
        <v>0</v>
      </c>
      <c r="CU33" s="18"/>
      <c r="CV33" s="18"/>
      <c r="CW33" s="18"/>
      <c r="CX33" s="18">
        <f>SUM(CX34:CX37)</f>
        <v>0</v>
      </c>
      <c r="CY33" s="18">
        <f>SUM(CY34:CY37)</f>
        <v>0</v>
      </c>
      <c r="CZ33" s="18">
        <f>SUM(CZ34:CZ37)</f>
        <v>0</v>
      </c>
      <c r="DA33" s="46">
        <f>SUM(DA34:DA37)</f>
        <v>0</v>
      </c>
      <c r="DB33" s="85"/>
    </row>
    <row r="34" spans="1:106" ht="15.75" x14ac:dyDescent="0.25">
      <c r="A34" s="72" t="s">
        <v>1</v>
      </c>
      <c r="B34" s="21" t="s">
        <v>80</v>
      </c>
      <c r="C34" s="22" t="s">
        <v>354</v>
      </c>
      <c r="D34" s="18">
        <f>SUM(E34+CA34+CX34)</f>
        <v>1851549</v>
      </c>
      <c r="E34" s="19">
        <f>SUM(F34+BB34)</f>
        <v>1833083</v>
      </c>
      <c r="F34" s="19">
        <f t="shared" ref="F34:F37" si="48">SUM(G34+H34+I34+P34+S34+T34+U34+AE34)</f>
        <v>1833083</v>
      </c>
      <c r="G34" s="23">
        <v>1015440</v>
      </c>
      <c r="H34" s="23">
        <v>253860</v>
      </c>
      <c r="I34" s="19">
        <f t="shared" si="7"/>
        <v>45174</v>
      </c>
      <c r="J34" s="19">
        <v>0</v>
      </c>
      <c r="K34" s="19">
        <v>0</v>
      </c>
      <c r="L34" s="19">
        <v>0</v>
      </c>
      <c r="M34" s="19">
        <v>0</v>
      </c>
      <c r="N34" s="23">
        <v>19788</v>
      </c>
      <c r="O34" s="23">
        <v>25386</v>
      </c>
      <c r="P34" s="19">
        <f t="shared" si="8"/>
        <v>109405</v>
      </c>
      <c r="Q34" s="23">
        <v>11795</v>
      </c>
      <c r="R34" s="23">
        <v>97610</v>
      </c>
      <c r="S34" s="23">
        <v>35000</v>
      </c>
      <c r="T34" s="23">
        <v>28154</v>
      </c>
      <c r="U34" s="19">
        <f t="shared" ref="U34:U37" si="49">SUM(V34:AC34)</f>
        <v>212520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212520</v>
      </c>
      <c r="AB34" s="23">
        <v>0</v>
      </c>
      <c r="AC34" s="23">
        <v>0</v>
      </c>
      <c r="AD34" s="19">
        <v>0</v>
      </c>
      <c r="AE34" s="19">
        <f>SUM(AF34:BA34)</f>
        <v>133530</v>
      </c>
      <c r="AF34" s="19">
        <v>0</v>
      </c>
      <c r="AG34" s="19">
        <v>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75130</v>
      </c>
      <c r="AO34" s="23">
        <v>0</v>
      </c>
      <c r="AP34" s="23">
        <v>0</v>
      </c>
      <c r="AQ34" s="23"/>
      <c r="AR34" s="23">
        <v>0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>
        <v>58400</v>
      </c>
      <c r="BB34" s="19">
        <f t="shared" ref="BB34:BB37" si="50">SUM(BC34+BG34+BJ34+BL34+BO34)</f>
        <v>0</v>
      </c>
      <c r="BC34" s="19">
        <f>SUM(BD34:BF34)</f>
        <v>0</v>
      </c>
      <c r="BD34" s="19">
        <v>0</v>
      </c>
      <c r="BE34" s="19">
        <v>0</v>
      </c>
      <c r="BF34" s="19">
        <v>0</v>
      </c>
      <c r="BG34" s="19">
        <f>SUM(BI34:BI34)</f>
        <v>0</v>
      </c>
      <c r="BH34" s="19">
        <v>0</v>
      </c>
      <c r="BI34" s="19">
        <v>0</v>
      </c>
      <c r="BJ34" s="19">
        <v>0</v>
      </c>
      <c r="BK34" s="19">
        <v>0</v>
      </c>
      <c r="BL34" s="19">
        <f t="shared" si="9"/>
        <v>0</v>
      </c>
      <c r="BM34" s="19">
        <v>0</v>
      </c>
      <c r="BN34" s="19">
        <v>0</v>
      </c>
      <c r="BO34" s="19">
        <f>SUM(BP34:BZ34)</f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19">
        <v>0</v>
      </c>
      <c r="BY34" s="23">
        <v>0</v>
      </c>
      <c r="BZ34" s="19">
        <v>0</v>
      </c>
      <c r="CA34" s="19">
        <f>SUM(CB34+CT34)</f>
        <v>18466</v>
      </c>
      <c r="CB34" s="19">
        <f>SUM(CC34+CF34+CL34)</f>
        <v>18466</v>
      </c>
      <c r="CC34" s="19">
        <f t="shared" si="10"/>
        <v>18466</v>
      </c>
      <c r="CD34" s="19">
        <v>0</v>
      </c>
      <c r="CE34" s="23">
        <v>18466</v>
      </c>
      <c r="CF34" s="19">
        <f t="shared" ref="CF34:CF37" si="51">SUM(CG34:CK34)</f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f>SUM(CM34:CQ34)</f>
        <v>0</v>
      </c>
      <c r="CM34" s="19">
        <v>0</v>
      </c>
      <c r="CN34" s="19">
        <v>0</v>
      </c>
      <c r="CO34" s="19">
        <v>0</v>
      </c>
      <c r="CP34" s="19"/>
      <c r="CQ34" s="19"/>
      <c r="CR34" s="19"/>
      <c r="CS34" s="19"/>
      <c r="CT34" s="19">
        <v>0</v>
      </c>
      <c r="CU34" s="19"/>
      <c r="CV34" s="19"/>
      <c r="CW34" s="19"/>
      <c r="CX34" s="19">
        <f t="shared" si="11"/>
        <v>0</v>
      </c>
      <c r="CY34" s="19">
        <f t="shared" si="12"/>
        <v>0</v>
      </c>
      <c r="CZ34" s="19">
        <v>0</v>
      </c>
      <c r="DA34" s="20">
        <v>0</v>
      </c>
    </row>
    <row r="35" spans="1:106" ht="15.75" x14ac:dyDescent="0.25">
      <c r="A35" s="72" t="s">
        <v>1</v>
      </c>
      <c r="B35" s="21" t="s">
        <v>80</v>
      </c>
      <c r="C35" s="22" t="s">
        <v>355</v>
      </c>
      <c r="D35" s="18">
        <f>SUM(E35+CA35+CX35)</f>
        <v>896252</v>
      </c>
      <c r="E35" s="19">
        <f>SUM(F35+BB35)</f>
        <v>875253</v>
      </c>
      <c r="F35" s="19">
        <f t="shared" si="48"/>
        <v>875253</v>
      </c>
      <c r="G35" s="23">
        <v>624000</v>
      </c>
      <c r="H35" s="23">
        <v>156000</v>
      </c>
      <c r="I35" s="19">
        <f t="shared" si="7"/>
        <v>44860</v>
      </c>
      <c r="J35" s="19">
        <v>0</v>
      </c>
      <c r="K35" s="19">
        <v>0</v>
      </c>
      <c r="L35" s="19">
        <v>0</v>
      </c>
      <c r="M35" s="19">
        <v>0</v>
      </c>
      <c r="N35" s="23">
        <v>14800</v>
      </c>
      <c r="O35" s="23">
        <v>30060</v>
      </c>
      <c r="P35" s="19">
        <f t="shared" si="8"/>
        <v>0</v>
      </c>
      <c r="Q35" s="23"/>
      <c r="R35" s="23"/>
      <c r="S35" s="23"/>
      <c r="T35" s="23">
        <v>1393</v>
      </c>
      <c r="U35" s="19">
        <f t="shared" si="49"/>
        <v>8269</v>
      </c>
      <c r="V35" s="23">
        <v>3130</v>
      </c>
      <c r="W35" s="23">
        <f>1088+927</f>
        <v>2015</v>
      </c>
      <c r="X35" s="23">
        <f>1735+1389</f>
        <v>3124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19">
        <v>0</v>
      </c>
      <c r="AE35" s="19">
        <f>SUM(AF35:BA35)</f>
        <v>40731</v>
      </c>
      <c r="AF35" s="19">
        <v>0</v>
      </c>
      <c r="AG35" s="19">
        <v>0</v>
      </c>
      <c r="AH35" s="23">
        <v>1885</v>
      </c>
      <c r="AI35" s="23">
        <f>2975-2316</f>
        <v>659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/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38187</v>
      </c>
      <c r="AZ35" s="23">
        <v>0</v>
      </c>
      <c r="BA35" s="23">
        <v>0</v>
      </c>
      <c r="BB35" s="19">
        <f t="shared" si="50"/>
        <v>0</v>
      </c>
      <c r="BC35" s="19">
        <f>SUM(BD35:BF35)</f>
        <v>0</v>
      </c>
      <c r="BD35" s="19">
        <v>0</v>
      </c>
      <c r="BE35" s="19">
        <v>0</v>
      </c>
      <c r="BF35" s="19">
        <v>0</v>
      </c>
      <c r="BG35" s="19">
        <f>SUM(BI35:BI35)</f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f t="shared" si="9"/>
        <v>0</v>
      </c>
      <c r="BM35" s="19">
        <v>0</v>
      </c>
      <c r="BN35" s="19">
        <v>0</v>
      </c>
      <c r="BO35" s="19">
        <f>SUM(BP35:BZ35)</f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23">
        <v>0</v>
      </c>
      <c r="BZ35" s="19">
        <v>0</v>
      </c>
      <c r="CA35" s="19">
        <f>SUM(CB35+CT35)</f>
        <v>20999</v>
      </c>
      <c r="CB35" s="19">
        <f>SUM(CC35+CF35+CL35)</f>
        <v>20999</v>
      </c>
      <c r="CC35" s="19">
        <f t="shared" si="10"/>
        <v>20999</v>
      </c>
      <c r="CD35" s="19">
        <v>0</v>
      </c>
      <c r="CE35" s="23">
        <v>20999</v>
      </c>
      <c r="CF35" s="19">
        <f t="shared" si="51"/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f>SUM(CM35:CQ35)</f>
        <v>0</v>
      </c>
      <c r="CM35" s="19">
        <v>0</v>
      </c>
      <c r="CN35" s="19">
        <v>0</v>
      </c>
      <c r="CO35" s="19">
        <v>0</v>
      </c>
      <c r="CP35" s="19"/>
      <c r="CQ35" s="19"/>
      <c r="CR35" s="19"/>
      <c r="CS35" s="19"/>
      <c r="CT35" s="19">
        <v>0</v>
      </c>
      <c r="CU35" s="19"/>
      <c r="CV35" s="19"/>
      <c r="CW35" s="19"/>
      <c r="CX35" s="19">
        <f t="shared" si="11"/>
        <v>0</v>
      </c>
      <c r="CY35" s="19">
        <f t="shared" si="12"/>
        <v>0</v>
      </c>
      <c r="CZ35" s="19">
        <v>0</v>
      </c>
      <c r="DA35" s="20">
        <v>0</v>
      </c>
    </row>
    <row r="36" spans="1:106" ht="15.75" x14ac:dyDescent="0.25">
      <c r="A36" s="72" t="s">
        <v>1</v>
      </c>
      <c r="B36" s="21" t="s">
        <v>88</v>
      </c>
      <c r="C36" s="22" t="s">
        <v>502</v>
      </c>
      <c r="D36" s="18">
        <f>SUM(E36+CA36+CX36)</f>
        <v>10277017</v>
      </c>
      <c r="E36" s="19">
        <f>SUM(F36+BB36)</f>
        <v>10237071</v>
      </c>
      <c r="F36" s="19">
        <f t="shared" si="48"/>
        <v>10237071</v>
      </c>
      <c r="G36" s="23">
        <v>7390621</v>
      </c>
      <c r="H36" s="23">
        <v>1773543</v>
      </c>
      <c r="I36" s="19">
        <f t="shared" si="7"/>
        <v>312479</v>
      </c>
      <c r="J36" s="19">
        <v>0</v>
      </c>
      <c r="K36" s="19">
        <v>0</v>
      </c>
      <c r="L36" s="19">
        <v>0</v>
      </c>
      <c r="M36" s="19">
        <v>0</v>
      </c>
      <c r="N36" s="23">
        <v>86305</v>
      </c>
      <c r="O36" s="23">
        <v>226174</v>
      </c>
      <c r="P36" s="19">
        <f t="shared" si="8"/>
        <v>0</v>
      </c>
      <c r="Q36" s="23"/>
      <c r="R36" s="23"/>
      <c r="S36" s="23"/>
      <c r="T36" s="23">
        <v>136489</v>
      </c>
      <c r="U36" s="19">
        <f t="shared" si="49"/>
        <v>227956</v>
      </c>
      <c r="V36" s="23">
        <v>56966</v>
      </c>
      <c r="W36" s="23">
        <f>45255+169+4302</f>
        <v>49726</v>
      </c>
      <c r="X36" s="23">
        <v>63132</v>
      </c>
      <c r="Y36" s="23">
        <v>12355</v>
      </c>
      <c r="Z36" s="23">
        <v>6607</v>
      </c>
      <c r="AA36" s="23">
        <v>28720</v>
      </c>
      <c r="AB36" s="23">
        <v>0</v>
      </c>
      <c r="AC36" s="23">
        <v>10450</v>
      </c>
      <c r="AD36" s="19">
        <v>0</v>
      </c>
      <c r="AE36" s="19">
        <f>SUM(AF36:BA36)</f>
        <v>395983</v>
      </c>
      <c r="AF36" s="19">
        <v>0</v>
      </c>
      <c r="AG36" s="19">
        <v>0</v>
      </c>
      <c r="AH36" s="23">
        <v>35828</v>
      </c>
      <c r="AI36" s="23">
        <f>224097-4302</f>
        <v>219795</v>
      </c>
      <c r="AJ36" s="23">
        <v>0</v>
      </c>
      <c r="AK36" s="23">
        <v>7681</v>
      </c>
      <c r="AL36" s="23">
        <v>505</v>
      </c>
      <c r="AM36" s="23">
        <f>4800-4800</f>
        <v>0</v>
      </c>
      <c r="AN36" s="23">
        <v>18825</v>
      </c>
      <c r="AO36" s="23">
        <f>7566-2000</f>
        <v>5566</v>
      </c>
      <c r="AP36" s="23">
        <v>1005</v>
      </c>
      <c r="AQ36" s="23"/>
      <c r="AR36" s="23">
        <v>0</v>
      </c>
      <c r="AS36" s="23">
        <v>43471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7747</v>
      </c>
      <c r="AZ36" s="23">
        <v>0</v>
      </c>
      <c r="BA36" s="23">
        <v>55560</v>
      </c>
      <c r="BB36" s="19">
        <f t="shared" si="50"/>
        <v>0</v>
      </c>
      <c r="BC36" s="19">
        <f>SUM(BD36:BF36)</f>
        <v>0</v>
      </c>
      <c r="BD36" s="19">
        <v>0</v>
      </c>
      <c r="BE36" s="19">
        <v>0</v>
      </c>
      <c r="BF36" s="19">
        <v>0</v>
      </c>
      <c r="BG36" s="19">
        <f>SUM(BI36:BI36)</f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f t="shared" si="9"/>
        <v>0</v>
      </c>
      <c r="BM36" s="19">
        <v>0</v>
      </c>
      <c r="BN36" s="19">
        <v>0</v>
      </c>
      <c r="BO36" s="19">
        <f>SUM(BP36:BZ36)</f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23">
        <f>2684-2684</f>
        <v>0</v>
      </c>
      <c r="BZ36" s="19">
        <v>0</v>
      </c>
      <c r="CA36" s="19">
        <f>SUM(CB36+CT36)</f>
        <v>39946</v>
      </c>
      <c r="CB36" s="19">
        <f>SUM(CC36+CF36+CL36)</f>
        <v>39946</v>
      </c>
      <c r="CC36" s="19">
        <f t="shared" si="10"/>
        <v>39946</v>
      </c>
      <c r="CD36" s="19">
        <v>0</v>
      </c>
      <c r="CE36" s="23">
        <v>39946</v>
      </c>
      <c r="CF36" s="19">
        <f t="shared" si="51"/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f>SUM(CM36:CQ36)</f>
        <v>0</v>
      </c>
      <c r="CM36" s="19">
        <v>0</v>
      </c>
      <c r="CN36" s="19">
        <v>0</v>
      </c>
      <c r="CO36" s="19">
        <v>0</v>
      </c>
      <c r="CP36" s="19"/>
      <c r="CQ36" s="19"/>
      <c r="CR36" s="19"/>
      <c r="CS36" s="19"/>
      <c r="CT36" s="19">
        <v>0</v>
      </c>
      <c r="CU36" s="19"/>
      <c r="CV36" s="19"/>
      <c r="CW36" s="19"/>
      <c r="CX36" s="19">
        <f t="shared" si="11"/>
        <v>0</v>
      </c>
      <c r="CY36" s="19">
        <f t="shared" si="12"/>
        <v>0</v>
      </c>
      <c r="CZ36" s="19">
        <v>0</v>
      </c>
      <c r="DA36" s="20">
        <v>0</v>
      </c>
    </row>
    <row r="37" spans="1:106" ht="31.5" x14ac:dyDescent="0.25">
      <c r="A37" s="72" t="s">
        <v>1</v>
      </c>
      <c r="B37" s="21" t="s">
        <v>92</v>
      </c>
      <c r="C37" s="22" t="s">
        <v>110</v>
      </c>
      <c r="D37" s="18">
        <f>SUM(E37+CA37+CX37)</f>
        <v>5380710</v>
      </c>
      <c r="E37" s="19">
        <f>SUM(F37+BB37)</f>
        <v>5311892</v>
      </c>
      <c r="F37" s="19">
        <f t="shared" si="48"/>
        <v>5311892</v>
      </c>
      <c r="G37" s="23">
        <v>3734727</v>
      </c>
      <c r="H37" s="23">
        <v>929779</v>
      </c>
      <c r="I37" s="19">
        <f t="shared" si="7"/>
        <v>220856</v>
      </c>
      <c r="J37" s="19">
        <v>0</v>
      </c>
      <c r="K37" s="19">
        <v>0</v>
      </c>
      <c r="L37" s="19">
        <v>0</v>
      </c>
      <c r="M37" s="19">
        <v>0</v>
      </c>
      <c r="N37" s="23">
        <f>170162-297</f>
        <v>169865</v>
      </c>
      <c r="O37" s="23">
        <v>50991</v>
      </c>
      <c r="P37" s="19">
        <f t="shared" si="8"/>
        <v>0</v>
      </c>
      <c r="Q37" s="23"/>
      <c r="R37" s="23"/>
      <c r="S37" s="23"/>
      <c r="T37" s="23">
        <v>92319</v>
      </c>
      <c r="U37" s="19">
        <f t="shared" si="49"/>
        <v>183497</v>
      </c>
      <c r="V37" s="23">
        <v>2826</v>
      </c>
      <c r="W37" s="23">
        <f>30689+195</f>
        <v>30884</v>
      </c>
      <c r="X37" s="23">
        <f>16034-1178</f>
        <v>14856</v>
      </c>
      <c r="Y37" s="23">
        <f>4462+15</f>
        <v>4477</v>
      </c>
      <c r="Z37" s="23">
        <v>6730</v>
      </c>
      <c r="AA37" s="23">
        <v>122742</v>
      </c>
      <c r="AB37" s="23">
        <v>0</v>
      </c>
      <c r="AC37" s="23">
        <v>982</v>
      </c>
      <c r="AD37" s="19">
        <v>0</v>
      </c>
      <c r="AE37" s="19">
        <f>SUM(AF37:BA37)</f>
        <v>150714</v>
      </c>
      <c r="AF37" s="19">
        <v>0</v>
      </c>
      <c r="AG37" s="19">
        <v>0</v>
      </c>
      <c r="AH37" s="23">
        <v>5168</v>
      </c>
      <c r="AI37" s="23">
        <v>10951</v>
      </c>
      <c r="AJ37" s="23">
        <v>0</v>
      </c>
      <c r="AK37" s="23">
        <v>517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/>
      <c r="AR37" s="23">
        <v>0</v>
      </c>
      <c r="AS37" s="23">
        <v>23523</v>
      </c>
      <c r="AT37" s="23">
        <v>0</v>
      </c>
      <c r="AU37" s="23">
        <v>0</v>
      </c>
      <c r="AV37" s="23">
        <v>0</v>
      </c>
      <c r="AW37" s="23">
        <v>0</v>
      </c>
      <c r="AX37" s="23">
        <v>0</v>
      </c>
      <c r="AY37" s="23">
        <v>107604</v>
      </c>
      <c r="AZ37" s="23">
        <v>0</v>
      </c>
      <c r="BA37" s="23">
        <v>2951</v>
      </c>
      <c r="BB37" s="19">
        <f t="shared" si="50"/>
        <v>0</v>
      </c>
      <c r="BC37" s="19">
        <f>SUM(BD37:BF37)</f>
        <v>0</v>
      </c>
      <c r="BD37" s="19">
        <v>0</v>
      </c>
      <c r="BE37" s="19">
        <v>0</v>
      </c>
      <c r="BF37" s="19">
        <v>0</v>
      </c>
      <c r="BG37" s="19">
        <f>SUM(BI37:BI37)</f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f t="shared" si="9"/>
        <v>0</v>
      </c>
      <c r="BM37" s="19">
        <v>0</v>
      </c>
      <c r="BN37" s="19">
        <v>0</v>
      </c>
      <c r="BO37" s="19">
        <f>SUM(BP37:BZ37)</f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19">
        <v>0</v>
      </c>
      <c r="BY37" s="23">
        <v>0</v>
      </c>
      <c r="BZ37" s="19">
        <v>0</v>
      </c>
      <c r="CA37" s="19">
        <f>SUM(CB37+CT37)</f>
        <v>68818</v>
      </c>
      <c r="CB37" s="19">
        <f>SUM(CC37+CF37+CL37)</f>
        <v>68818</v>
      </c>
      <c r="CC37" s="19">
        <f t="shared" si="10"/>
        <v>68818</v>
      </c>
      <c r="CD37" s="19">
        <v>0</v>
      </c>
      <c r="CE37" s="23">
        <v>68818</v>
      </c>
      <c r="CF37" s="19">
        <f t="shared" si="51"/>
        <v>0</v>
      </c>
      <c r="CG37" s="19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f>SUM(CM37:CQ37)</f>
        <v>0</v>
      </c>
      <c r="CM37" s="19">
        <v>0</v>
      </c>
      <c r="CN37" s="19">
        <v>0</v>
      </c>
      <c r="CO37" s="19">
        <v>0</v>
      </c>
      <c r="CP37" s="19"/>
      <c r="CQ37" s="19"/>
      <c r="CR37" s="19"/>
      <c r="CS37" s="19"/>
      <c r="CT37" s="19">
        <v>0</v>
      </c>
      <c r="CU37" s="19"/>
      <c r="CV37" s="19"/>
      <c r="CW37" s="19"/>
      <c r="CX37" s="19">
        <f t="shared" si="11"/>
        <v>0</v>
      </c>
      <c r="CY37" s="19">
        <f t="shared" si="12"/>
        <v>0</v>
      </c>
      <c r="CZ37" s="19">
        <v>0</v>
      </c>
      <c r="DA37" s="20">
        <v>0</v>
      </c>
    </row>
    <row r="38" spans="1:106" s="86" customFormat="1" ht="15.75" x14ac:dyDescent="0.25">
      <c r="A38" s="71" t="s">
        <v>111</v>
      </c>
      <c r="B38" s="16" t="s">
        <v>1</v>
      </c>
      <c r="C38" s="17" t="s">
        <v>112</v>
      </c>
      <c r="D38" s="18">
        <f t="shared" ref="D38:AY38" si="52">SUM(D39:D39)</f>
        <v>4852292</v>
      </c>
      <c r="E38" s="18">
        <f t="shared" si="52"/>
        <v>4679277</v>
      </c>
      <c r="F38" s="18">
        <f t="shared" si="52"/>
        <v>4679277</v>
      </c>
      <c r="G38" s="18">
        <f t="shared" si="52"/>
        <v>3520240</v>
      </c>
      <c r="H38" s="18">
        <f t="shared" si="52"/>
        <v>843705</v>
      </c>
      <c r="I38" s="18">
        <f t="shared" si="52"/>
        <v>46840</v>
      </c>
      <c r="J38" s="18">
        <f t="shared" si="52"/>
        <v>0</v>
      </c>
      <c r="K38" s="18">
        <f t="shared" si="52"/>
        <v>0</v>
      </c>
      <c r="L38" s="18">
        <f t="shared" si="52"/>
        <v>0</v>
      </c>
      <c r="M38" s="18">
        <f t="shared" si="52"/>
        <v>0</v>
      </c>
      <c r="N38" s="18">
        <f t="shared" si="52"/>
        <v>0</v>
      </c>
      <c r="O38" s="18">
        <f t="shared" si="52"/>
        <v>46840</v>
      </c>
      <c r="P38" s="18">
        <f t="shared" si="52"/>
        <v>146</v>
      </c>
      <c r="Q38" s="18">
        <f t="shared" si="52"/>
        <v>146</v>
      </c>
      <c r="R38" s="18">
        <f t="shared" si="52"/>
        <v>0</v>
      </c>
      <c r="S38" s="18">
        <f t="shared" si="52"/>
        <v>0</v>
      </c>
      <c r="T38" s="18">
        <f t="shared" si="52"/>
        <v>81920</v>
      </c>
      <c r="U38" s="18">
        <f t="shared" si="52"/>
        <v>79708</v>
      </c>
      <c r="V38" s="18">
        <f t="shared" si="52"/>
        <v>8183</v>
      </c>
      <c r="W38" s="18">
        <f t="shared" si="52"/>
        <v>15465</v>
      </c>
      <c r="X38" s="18">
        <f t="shared" si="52"/>
        <v>11070</v>
      </c>
      <c r="Y38" s="18">
        <f t="shared" si="52"/>
        <v>3397</v>
      </c>
      <c r="Z38" s="18">
        <f t="shared" si="52"/>
        <v>430</v>
      </c>
      <c r="AA38" s="18">
        <f t="shared" si="52"/>
        <v>41163</v>
      </c>
      <c r="AB38" s="18">
        <f t="shared" si="52"/>
        <v>0</v>
      </c>
      <c r="AC38" s="18">
        <f t="shared" si="52"/>
        <v>0</v>
      </c>
      <c r="AD38" s="18">
        <f t="shared" si="52"/>
        <v>0</v>
      </c>
      <c r="AE38" s="18">
        <f t="shared" si="52"/>
        <v>106718</v>
      </c>
      <c r="AF38" s="18">
        <f t="shared" si="52"/>
        <v>0</v>
      </c>
      <c r="AG38" s="18">
        <f t="shared" si="52"/>
        <v>0</v>
      </c>
      <c r="AH38" s="18">
        <f t="shared" si="52"/>
        <v>5341</v>
      </c>
      <c r="AI38" s="18">
        <f t="shared" si="52"/>
        <v>100000</v>
      </c>
      <c r="AJ38" s="18">
        <f t="shared" si="52"/>
        <v>0</v>
      </c>
      <c r="AK38" s="18">
        <f t="shared" si="52"/>
        <v>0</v>
      </c>
      <c r="AL38" s="18">
        <f t="shared" si="52"/>
        <v>0</v>
      </c>
      <c r="AM38" s="18">
        <f t="shared" si="52"/>
        <v>0</v>
      </c>
      <c r="AN38" s="18">
        <f t="shared" si="52"/>
        <v>1377</v>
      </c>
      <c r="AO38" s="18">
        <f t="shared" si="52"/>
        <v>0</v>
      </c>
      <c r="AP38" s="18">
        <f t="shared" si="52"/>
        <v>0</v>
      </c>
      <c r="AQ38" s="18"/>
      <c r="AR38" s="18">
        <f t="shared" si="52"/>
        <v>0</v>
      </c>
      <c r="AS38" s="18">
        <f t="shared" si="52"/>
        <v>0</v>
      </c>
      <c r="AT38" s="18">
        <f t="shared" si="52"/>
        <v>0</v>
      </c>
      <c r="AU38" s="18">
        <f t="shared" si="52"/>
        <v>0</v>
      </c>
      <c r="AV38" s="18">
        <f t="shared" si="52"/>
        <v>0</v>
      </c>
      <c r="AW38" s="18">
        <f t="shared" si="52"/>
        <v>0</v>
      </c>
      <c r="AX38" s="18">
        <f t="shared" si="52"/>
        <v>0</v>
      </c>
      <c r="AY38" s="18">
        <f t="shared" si="52"/>
        <v>0</v>
      </c>
      <c r="AZ38" s="18"/>
      <c r="BA38" s="18">
        <f t="shared" ref="BA38:DA38" si="53">SUM(BA39:BA39)</f>
        <v>0</v>
      </c>
      <c r="BB38" s="18">
        <f t="shared" si="53"/>
        <v>0</v>
      </c>
      <c r="BC38" s="18">
        <f t="shared" si="53"/>
        <v>0</v>
      </c>
      <c r="BD38" s="18">
        <f t="shared" si="53"/>
        <v>0</v>
      </c>
      <c r="BE38" s="18">
        <f t="shared" si="53"/>
        <v>0</v>
      </c>
      <c r="BF38" s="18">
        <f t="shared" si="53"/>
        <v>0</v>
      </c>
      <c r="BG38" s="18">
        <f t="shared" si="53"/>
        <v>0</v>
      </c>
      <c r="BH38" s="18">
        <f t="shared" si="53"/>
        <v>0</v>
      </c>
      <c r="BI38" s="18">
        <f t="shared" si="53"/>
        <v>0</v>
      </c>
      <c r="BJ38" s="18">
        <f t="shared" si="53"/>
        <v>0</v>
      </c>
      <c r="BK38" s="18">
        <f t="shared" si="53"/>
        <v>0</v>
      </c>
      <c r="BL38" s="18">
        <f t="shared" si="53"/>
        <v>0</v>
      </c>
      <c r="BM38" s="18">
        <f t="shared" si="53"/>
        <v>0</v>
      </c>
      <c r="BN38" s="18">
        <f t="shared" si="53"/>
        <v>0</v>
      </c>
      <c r="BO38" s="18">
        <f t="shared" si="53"/>
        <v>0</v>
      </c>
      <c r="BP38" s="18">
        <f t="shared" si="53"/>
        <v>0</v>
      </c>
      <c r="BQ38" s="18">
        <f t="shared" si="53"/>
        <v>0</v>
      </c>
      <c r="BR38" s="18">
        <f t="shared" si="53"/>
        <v>0</v>
      </c>
      <c r="BS38" s="18">
        <f t="shared" si="53"/>
        <v>0</v>
      </c>
      <c r="BT38" s="18">
        <f t="shared" si="53"/>
        <v>0</v>
      </c>
      <c r="BU38" s="18">
        <f t="shared" si="53"/>
        <v>0</v>
      </c>
      <c r="BV38" s="18">
        <f t="shared" si="53"/>
        <v>0</v>
      </c>
      <c r="BW38" s="18">
        <f t="shared" si="53"/>
        <v>0</v>
      </c>
      <c r="BX38" s="18">
        <f t="shared" si="53"/>
        <v>0</v>
      </c>
      <c r="BY38" s="18">
        <f t="shared" si="53"/>
        <v>0</v>
      </c>
      <c r="BZ38" s="18">
        <f t="shared" si="53"/>
        <v>0</v>
      </c>
      <c r="CA38" s="18">
        <f t="shared" si="53"/>
        <v>173015</v>
      </c>
      <c r="CB38" s="18">
        <f t="shared" si="53"/>
        <v>173015</v>
      </c>
      <c r="CC38" s="18">
        <f t="shared" si="53"/>
        <v>173015</v>
      </c>
      <c r="CD38" s="18">
        <f t="shared" si="53"/>
        <v>0</v>
      </c>
      <c r="CE38" s="18">
        <f t="shared" si="53"/>
        <v>173015</v>
      </c>
      <c r="CF38" s="18">
        <f t="shared" si="53"/>
        <v>0</v>
      </c>
      <c r="CG38" s="18">
        <f t="shared" si="53"/>
        <v>0</v>
      </c>
      <c r="CH38" s="18">
        <f t="shared" si="53"/>
        <v>0</v>
      </c>
      <c r="CI38" s="18">
        <f t="shared" si="53"/>
        <v>0</v>
      </c>
      <c r="CJ38" s="18">
        <f t="shared" si="53"/>
        <v>0</v>
      </c>
      <c r="CK38" s="18">
        <f t="shared" si="53"/>
        <v>0</v>
      </c>
      <c r="CL38" s="18">
        <f t="shared" si="53"/>
        <v>0</v>
      </c>
      <c r="CM38" s="18">
        <f t="shared" si="53"/>
        <v>0</v>
      </c>
      <c r="CN38" s="18">
        <f t="shared" si="53"/>
        <v>0</v>
      </c>
      <c r="CO38" s="18">
        <f t="shared" si="53"/>
        <v>0</v>
      </c>
      <c r="CP38" s="18">
        <f t="shared" si="53"/>
        <v>0</v>
      </c>
      <c r="CQ38" s="18">
        <f t="shared" si="53"/>
        <v>0</v>
      </c>
      <c r="CR38" s="18"/>
      <c r="CS38" s="18"/>
      <c r="CT38" s="18">
        <f t="shared" si="53"/>
        <v>0</v>
      </c>
      <c r="CU38" s="18"/>
      <c r="CV38" s="18"/>
      <c r="CW38" s="18"/>
      <c r="CX38" s="18">
        <f t="shared" si="53"/>
        <v>0</v>
      </c>
      <c r="CY38" s="18">
        <f t="shared" si="53"/>
        <v>0</v>
      </c>
      <c r="CZ38" s="18">
        <f t="shared" si="53"/>
        <v>0</v>
      </c>
      <c r="DA38" s="46">
        <f t="shared" si="53"/>
        <v>0</v>
      </c>
      <c r="DB38" s="85"/>
    </row>
    <row r="39" spans="1:106" ht="15.75" x14ac:dyDescent="0.25">
      <c r="A39" s="72" t="s">
        <v>1</v>
      </c>
      <c r="B39" s="21" t="s">
        <v>80</v>
      </c>
      <c r="C39" s="22" t="s">
        <v>581</v>
      </c>
      <c r="D39" s="18">
        <f>SUM(E39+CA39+CX39)</f>
        <v>4852292</v>
      </c>
      <c r="E39" s="19">
        <f>SUM(F39+BB39)</f>
        <v>4679277</v>
      </c>
      <c r="F39" s="19">
        <f>SUM(G39+H39+I39+P39+S39+T39+U39+AE39)</f>
        <v>4679277</v>
      </c>
      <c r="G39" s="23">
        <v>3520240</v>
      </c>
      <c r="H39" s="23">
        <v>843705</v>
      </c>
      <c r="I39" s="19">
        <f t="shared" ref="I39" si="54">SUM(J39:O39)</f>
        <v>46840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23">
        <v>46840</v>
      </c>
      <c r="P39" s="19">
        <f t="shared" ref="P39" si="55">SUM(Q39:R39)</f>
        <v>146</v>
      </c>
      <c r="Q39" s="19">
        <v>146</v>
      </c>
      <c r="R39" s="19">
        <v>0</v>
      </c>
      <c r="S39" s="19">
        <v>0</v>
      </c>
      <c r="T39" s="23">
        <v>81920</v>
      </c>
      <c r="U39" s="19">
        <f>SUM(V39:AC39)</f>
        <v>79708</v>
      </c>
      <c r="V39" s="23">
        <v>8183</v>
      </c>
      <c r="W39" s="23">
        <f>15346+119</f>
        <v>15465</v>
      </c>
      <c r="X39" s="23">
        <v>11070</v>
      </c>
      <c r="Y39" s="23">
        <v>3397</v>
      </c>
      <c r="Z39" s="23">
        <v>430</v>
      </c>
      <c r="AA39" s="23">
        <v>41163</v>
      </c>
      <c r="AB39" s="23">
        <v>0</v>
      </c>
      <c r="AC39" s="23">
        <v>0</v>
      </c>
      <c r="AD39" s="19">
        <v>0</v>
      </c>
      <c r="AE39" s="19">
        <f>SUM(AF39:BA39)</f>
        <v>106718</v>
      </c>
      <c r="AF39" s="19">
        <v>0</v>
      </c>
      <c r="AG39" s="19">
        <v>0</v>
      </c>
      <c r="AH39" s="23">
        <v>5341</v>
      </c>
      <c r="AI39" s="23">
        <v>100000</v>
      </c>
      <c r="AJ39" s="23">
        <v>0</v>
      </c>
      <c r="AK39" s="23">
        <v>0</v>
      </c>
      <c r="AL39" s="23">
        <v>0</v>
      </c>
      <c r="AM39" s="23">
        <v>0</v>
      </c>
      <c r="AN39" s="23">
        <v>1377</v>
      </c>
      <c r="AO39" s="23">
        <v>0</v>
      </c>
      <c r="AP39" s="23">
        <v>0</v>
      </c>
      <c r="AQ39" s="23"/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>
        <v>0</v>
      </c>
      <c r="BB39" s="19">
        <f>SUM(BC39+BG39+BJ39+BL39+BO39)</f>
        <v>0</v>
      </c>
      <c r="BC39" s="19">
        <f>SUM(BD39:BF39)</f>
        <v>0</v>
      </c>
      <c r="BD39" s="19">
        <v>0</v>
      </c>
      <c r="BE39" s="19">
        <v>0</v>
      </c>
      <c r="BF39" s="19">
        <v>0</v>
      </c>
      <c r="BG39" s="19">
        <f>SUM(BI39:BI39)</f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f t="shared" ref="BL39" si="56">SUM(BM39)</f>
        <v>0</v>
      </c>
      <c r="BM39" s="19">
        <v>0</v>
      </c>
      <c r="BN39" s="19">
        <v>0</v>
      </c>
      <c r="BO39" s="19">
        <f>SUM(BP39:BZ39)</f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f>SUM(CB39+CT39)</f>
        <v>173015</v>
      </c>
      <c r="CB39" s="19">
        <f>SUM(CC39+CF39+CL39)</f>
        <v>173015</v>
      </c>
      <c r="CC39" s="19">
        <f t="shared" ref="CC39" si="57">SUM(CD39:CE39)</f>
        <v>173015</v>
      </c>
      <c r="CD39" s="19">
        <v>0</v>
      </c>
      <c r="CE39" s="23">
        <v>173015</v>
      </c>
      <c r="CF39" s="19">
        <f>SUM(CG39:CK39)</f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f>SUM(CM39:CQ39)</f>
        <v>0</v>
      </c>
      <c r="CM39" s="19">
        <v>0</v>
      </c>
      <c r="CN39" s="19">
        <v>0</v>
      </c>
      <c r="CO39" s="19">
        <v>0</v>
      </c>
      <c r="CP39" s="19"/>
      <c r="CQ39" s="19"/>
      <c r="CR39" s="19"/>
      <c r="CS39" s="19"/>
      <c r="CT39" s="19">
        <v>0</v>
      </c>
      <c r="CU39" s="19"/>
      <c r="CV39" s="19"/>
      <c r="CW39" s="19"/>
      <c r="CX39" s="19">
        <f t="shared" ref="CX39" si="58">SUM(CY39)</f>
        <v>0</v>
      </c>
      <c r="CY39" s="19">
        <f t="shared" ref="CY39" si="59">SUM(CZ39:DA39)</f>
        <v>0</v>
      </c>
      <c r="CZ39" s="19">
        <v>0</v>
      </c>
      <c r="DA39" s="20">
        <v>0</v>
      </c>
    </row>
    <row r="40" spans="1:106" s="86" customFormat="1" ht="15.75" x14ac:dyDescent="0.25">
      <c r="A40" s="71" t="s">
        <v>113</v>
      </c>
      <c r="B40" s="16" t="s">
        <v>1</v>
      </c>
      <c r="C40" s="17" t="s">
        <v>114</v>
      </c>
      <c r="D40" s="18">
        <f t="shared" ref="D40:AK40" si="60">SUM(D41)</f>
        <v>15347707</v>
      </c>
      <c r="E40" s="18">
        <f t="shared" si="60"/>
        <v>14946795</v>
      </c>
      <c r="F40" s="18">
        <f t="shared" si="60"/>
        <v>14929159</v>
      </c>
      <c r="G40" s="18">
        <f t="shared" si="60"/>
        <v>9725042</v>
      </c>
      <c r="H40" s="18">
        <f t="shared" si="60"/>
        <v>2324375</v>
      </c>
      <c r="I40" s="18">
        <f t="shared" si="60"/>
        <v>495528</v>
      </c>
      <c r="J40" s="18">
        <f t="shared" si="60"/>
        <v>0</v>
      </c>
      <c r="K40" s="18">
        <f t="shared" si="60"/>
        <v>0</v>
      </c>
      <c r="L40" s="18">
        <f t="shared" si="60"/>
        <v>0</v>
      </c>
      <c r="M40" s="18">
        <f t="shared" si="60"/>
        <v>0</v>
      </c>
      <c r="N40" s="18">
        <f t="shared" si="60"/>
        <v>320000</v>
      </c>
      <c r="O40" s="18">
        <f t="shared" si="60"/>
        <v>175528</v>
      </c>
      <c r="P40" s="18">
        <f t="shared" si="60"/>
        <v>143838</v>
      </c>
      <c r="Q40" s="18">
        <f t="shared" si="60"/>
        <v>0</v>
      </c>
      <c r="R40" s="18">
        <f t="shared" si="60"/>
        <v>143838</v>
      </c>
      <c r="S40" s="18">
        <f t="shared" si="60"/>
        <v>0</v>
      </c>
      <c r="T40" s="18">
        <f t="shared" si="60"/>
        <v>265028</v>
      </c>
      <c r="U40" s="18">
        <f t="shared" si="60"/>
        <v>532979</v>
      </c>
      <c r="V40" s="18">
        <f t="shared" si="60"/>
        <v>109851</v>
      </c>
      <c r="W40" s="18">
        <f t="shared" si="60"/>
        <v>210637</v>
      </c>
      <c r="X40" s="18">
        <f t="shared" si="60"/>
        <v>148334</v>
      </c>
      <c r="Y40" s="18">
        <f t="shared" si="60"/>
        <v>47755</v>
      </c>
      <c r="Z40" s="18">
        <f t="shared" si="60"/>
        <v>16402</v>
      </c>
      <c r="AA40" s="18">
        <f t="shared" si="60"/>
        <v>0</v>
      </c>
      <c r="AB40" s="18">
        <f t="shared" si="60"/>
        <v>0</v>
      </c>
      <c r="AC40" s="18">
        <f t="shared" si="60"/>
        <v>0</v>
      </c>
      <c r="AD40" s="18">
        <f t="shared" si="60"/>
        <v>0</v>
      </c>
      <c r="AE40" s="18">
        <f t="shared" si="60"/>
        <v>1442369</v>
      </c>
      <c r="AF40" s="18">
        <f t="shared" si="60"/>
        <v>0</v>
      </c>
      <c r="AG40" s="18">
        <f t="shared" si="60"/>
        <v>0</v>
      </c>
      <c r="AH40" s="18">
        <f t="shared" si="60"/>
        <v>27184</v>
      </c>
      <c r="AI40" s="18">
        <f t="shared" si="60"/>
        <v>742348</v>
      </c>
      <c r="AJ40" s="18">
        <f t="shared" si="60"/>
        <v>0</v>
      </c>
      <c r="AK40" s="18">
        <f t="shared" si="60"/>
        <v>2308</v>
      </c>
      <c r="AL40" s="18">
        <f t="shared" ref="AL40:DA40" si="61">SUM(AL41)</f>
        <v>20166</v>
      </c>
      <c r="AM40" s="18">
        <f t="shared" si="61"/>
        <v>0</v>
      </c>
      <c r="AN40" s="18">
        <f t="shared" si="61"/>
        <v>0</v>
      </c>
      <c r="AO40" s="18">
        <f t="shared" si="61"/>
        <v>273721</v>
      </c>
      <c r="AP40" s="18">
        <f t="shared" si="61"/>
        <v>0</v>
      </c>
      <c r="AQ40" s="18"/>
      <c r="AR40" s="18">
        <f t="shared" si="61"/>
        <v>0</v>
      </c>
      <c r="AS40" s="18">
        <f t="shared" si="61"/>
        <v>15138</v>
      </c>
      <c r="AT40" s="18">
        <f t="shared" si="61"/>
        <v>13596</v>
      </c>
      <c r="AU40" s="18"/>
      <c r="AV40" s="18"/>
      <c r="AW40" s="18">
        <f t="shared" si="61"/>
        <v>0</v>
      </c>
      <c r="AX40" s="18">
        <f t="shared" si="61"/>
        <v>0</v>
      </c>
      <c r="AY40" s="18">
        <f t="shared" si="61"/>
        <v>71088</v>
      </c>
      <c r="AZ40" s="18">
        <f t="shared" si="61"/>
        <v>266820</v>
      </c>
      <c r="BA40" s="18">
        <f t="shared" si="61"/>
        <v>10000</v>
      </c>
      <c r="BB40" s="18">
        <f t="shared" si="61"/>
        <v>17636</v>
      </c>
      <c r="BC40" s="18">
        <f t="shared" si="61"/>
        <v>0</v>
      </c>
      <c r="BD40" s="18">
        <f t="shared" si="61"/>
        <v>0</v>
      </c>
      <c r="BE40" s="18">
        <f t="shared" si="61"/>
        <v>0</v>
      </c>
      <c r="BF40" s="18">
        <f t="shared" si="61"/>
        <v>0</v>
      </c>
      <c r="BG40" s="18">
        <f t="shared" si="61"/>
        <v>0</v>
      </c>
      <c r="BH40" s="18">
        <f t="shared" si="61"/>
        <v>0</v>
      </c>
      <c r="BI40" s="18">
        <f t="shared" si="61"/>
        <v>0</v>
      </c>
      <c r="BJ40" s="18">
        <f t="shared" si="61"/>
        <v>0</v>
      </c>
      <c r="BK40" s="18">
        <f t="shared" si="61"/>
        <v>0</v>
      </c>
      <c r="BL40" s="18">
        <f t="shared" si="61"/>
        <v>0</v>
      </c>
      <c r="BM40" s="18">
        <f t="shared" si="61"/>
        <v>0</v>
      </c>
      <c r="BN40" s="18">
        <f t="shared" si="61"/>
        <v>0</v>
      </c>
      <c r="BO40" s="18">
        <f t="shared" si="61"/>
        <v>17636</v>
      </c>
      <c r="BP40" s="18">
        <f t="shared" si="61"/>
        <v>0</v>
      </c>
      <c r="BQ40" s="18">
        <f t="shared" si="61"/>
        <v>0</v>
      </c>
      <c r="BR40" s="18">
        <f t="shared" si="61"/>
        <v>0</v>
      </c>
      <c r="BS40" s="18">
        <f t="shared" si="61"/>
        <v>0</v>
      </c>
      <c r="BT40" s="18">
        <f t="shared" si="61"/>
        <v>0</v>
      </c>
      <c r="BU40" s="18">
        <f t="shared" si="61"/>
        <v>0</v>
      </c>
      <c r="BV40" s="18">
        <f t="shared" si="61"/>
        <v>0</v>
      </c>
      <c r="BW40" s="18">
        <f t="shared" si="61"/>
        <v>0</v>
      </c>
      <c r="BX40" s="18">
        <f t="shared" si="61"/>
        <v>0</v>
      </c>
      <c r="BY40" s="18">
        <f t="shared" si="61"/>
        <v>17636</v>
      </c>
      <c r="BZ40" s="18">
        <f t="shared" si="61"/>
        <v>0</v>
      </c>
      <c r="CA40" s="18">
        <f t="shared" si="61"/>
        <v>400912</v>
      </c>
      <c r="CB40" s="18">
        <f t="shared" si="61"/>
        <v>400912</v>
      </c>
      <c r="CC40" s="18">
        <f t="shared" si="61"/>
        <v>200000</v>
      </c>
      <c r="CD40" s="18">
        <f t="shared" si="61"/>
        <v>0</v>
      </c>
      <c r="CE40" s="18">
        <f t="shared" si="61"/>
        <v>200000</v>
      </c>
      <c r="CF40" s="18">
        <f t="shared" si="61"/>
        <v>0</v>
      </c>
      <c r="CG40" s="18">
        <f t="shared" si="61"/>
        <v>0</v>
      </c>
      <c r="CH40" s="18">
        <f t="shared" si="61"/>
        <v>0</v>
      </c>
      <c r="CI40" s="18">
        <f t="shared" si="61"/>
        <v>0</v>
      </c>
      <c r="CJ40" s="18">
        <f t="shared" si="61"/>
        <v>0</v>
      </c>
      <c r="CK40" s="18">
        <f t="shared" si="61"/>
        <v>0</v>
      </c>
      <c r="CL40" s="18">
        <f t="shared" si="61"/>
        <v>200912</v>
      </c>
      <c r="CM40" s="18">
        <f t="shared" si="61"/>
        <v>0</v>
      </c>
      <c r="CN40" s="18">
        <f t="shared" si="61"/>
        <v>0</v>
      </c>
      <c r="CO40" s="18">
        <f t="shared" si="61"/>
        <v>200912</v>
      </c>
      <c r="CP40" s="18"/>
      <c r="CQ40" s="18"/>
      <c r="CR40" s="18"/>
      <c r="CS40" s="18"/>
      <c r="CT40" s="18">
        <f t="shared" si="61"/>
        <v>0</v>
      </c>
      <c r="CU40" s="18"/>
      <c r="CV40" s="18"/>
      <c r="CW40" s="18"/>
      <c r="CX40" s="18">
        <f t="shared" si="61"/>
        <v>0</v>
      </c>
      <c r="CY40" s="18">
        <f t="shared" si="61"/>
        <v>0</v>
      </c>
      <c r="CZ40" s="18">
        <f t="shared" si="61"/>
        <v>0</v>
      </c>
      <c r="DA40" s="46">
        <f t="shared" si="61"/>
        <v>0</v>
      </c>
      <c r="DB40" s="85"/>
    </row>
    <row r="41" spans="1:106" ht="15.75" x14ac:dyDescent="0.25">
      <c r="A41" s="72" t="s">
        <v>1</v>
      </c>
      <c r="B41" s="21" t="s">
        <v>115</v>
      </c>
      <c r="C41" s="22" t="s">
        <v>116</v>
      </c>
      <c r="D41" s="18">
        <f>SUM(E41+CA41+CX41)</f>
        <v>15347707</v>
      </c>
      <c r="E41" s="19">
        <f>SUM(F41+BB41)</f>
        <v>14946795</v>
      </c>
      <c r="F41" s="19">
        <f>SUM(G41+H41+I41+P41+S41+T41+U41+AE41)</f>
        <v>14929159</v>
      </c>
      <c r="G41" s="23">
        <v>9725042</v>
      </c>
      <c r="H41" s="23">
        <v>2324375</v>
      </c>
      <c r="I41" s="19">
        <f t="shared" si="7"/>
        <v>495528</v>
      </c>
      <c r="J41" s="23">
        <f>450-450</f>
        <v>0</v>
      </c>
      <c r="K41" s="23">
        <v>0</v>
      </c>
      <c r="L41" s="23">
        <v>0</v>
      </c>
      <c r="M41" s="23">
        <v>0</v>
      </c>
      <c r="N41" s="23">
        <v>320000</v>
      </c>
      <c r="O41" s="23">
        <v>175528</v>
      </c>
      <c r="P41" s="19">
        <f t="shared" si="8"/>
        <v>143838</v>
      </c>
      <c r="Q41" s="23">
        <v>0</v>
      </c>
      <c r="R41" s="23">
        <f>151473-7635</f>
        <v>143838</v>
      </c>
      <c r="S41" s="23">
        <v>0</v>
      </c>
      <c r="T41" s="23">
        <v>265028</v>
      </c>
      <c r="U41" s="19">
        <f>SUM(V41:AC41)</f>
        <v>532979</v>
      </c>
      <c r="V41" s="23">
        <v>109851</v>
      </c>
      <c r="W41" s="23">
        <v>210637</v>
      </c>
      <c r="X41" s="23">
        <f>140699+7635</f>
        <v>148334</v>
      </c>
      <c r="Y41" s="23">
        <v>47755</v>
      </c>
      <c r="Z41" s="23">
        <v>16402</v>
      </c>
      <c r="AA41" s="23">
        <v>0</v>
      </c>
      <c r="AB41" s="23">
        <v>0</v>
      </c>
      <c r="AC41" s="23">
        <v>0</v>
      </c>
      <c r="AD41" s="23">
        <v>0</v>
      </c>
      <c r="AE41" s="19">
        <f>SUM(AF41:BA41)</f>
        <v>1442369</v>
      </c>
      <c r="AF41" s="23">
        <v>0</v>
      </c>
      <c r="AG41" s="23">
        <v>0</v>
      </c>
      <c r="AH41" s="23">
        <v>27184</v>
      </c>
      <c r="AI41" s="23">
        <v>742348</v>
      </c>
      <c r="AJ41" s="23">
        <v>0</v>
      </c>
      <c r="AK41" s="23">
        <v>2308</v>
      </c>
      <c r="AL41" s="23">
        <v>20166</v>
      </c>
      <c r="AM41" s="23">
        <f>5000-5000</f>
        <v>0</v>
      </c>
      <c r="AN41" s="23">
        <v>0</v>
      </c>
      <c r="AO41" s="23">
        <v>273721</v>
      </c>
      <c r="AP41" s="23">
        <v>0</v>
      </c>
      <c r="AQ41" s="23"/>
      <c r="AR41" s="23">
        <v>0</v>
      </c>
      <c r="AS41" s="23">
        <f>32293-17155</f>
        <v>15138</v>
      </c>
      <c r="AT41" s="23">
        <v>13596</v>
      </c>
      <c r="AU41" s="23">
        <v>0</v>
      </c>
      <c r="AV41" s="23">
        <v>0</v>
      </c>
      <c r="AW41" s="23">
        <v>0</v>
      </c>
      <c r="AX41" s="23">
        <v>0</v>
      </c>
      <c r="AY41" s="23">
        <f>75000-3912</f>
        <v>71088</v>
      </c>
      <c r="AZ41" s="23">
        <v>266820</v>
      </c>
      <c r="BA41" s="23">
        <v>10000</v>
      </c>
      <c r="BB41" s="19">
        <f>SUM(BC41+BG41+BJ41+BL41+BO41)</f>
        <v>17636</v>
      </c>
      <c r="BC41" s="19">
        <f>SUM(BD41:BF41)</f>
        <v>0</v>
      </c>
      <c r="BD41" s="19">
        <v>0</v>
      </c>
      <c r="BE41" s="19">
        <v>0</v>
      </c>
      <c r="BF41" s="19">
        <v>0</v>
      </c>
      <c r="BG41" s="19">
        <f>SUM(BI41:BI41)</f>
        <v>0</v>
      </c>
      <c r="BH41" s="19">
        <v>0</v>
      </c>
      <c r="BI41" s="19">
        <v>0</v>
      </c>
      <c r="BJ41" s="19">
        <v>0</v>
      </c>
      <c r="BK41" s="19">
        <v>0</v>
      </c>
      <c r="BL41" s="19">
        <f t="shared" si="9"/>
        <v>0</v>
      </c>
      <c r="BM41" s="19">
        <v>0</v>
      </c>
      <c r="BN41" s="19">
        <v>0</v>
      </c>
      <c r="BO41" s="19">
        <f>SUM(BP41:BZ41)</f>
        <v>17636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</v>
      </c>
      <c r="BY41" s="23">
        <v>17636</v>
      </c>
      <c r="BZ41" s="19">
        <v>0</v>
      </c>
      <c r="CA41" s="19">
        <f>SUM(CB41+CT41)</f>
        <v>400912</v>
      </c>
      <c r="CB41" s="19">
        <f>SUM(CC41+CF41+CL41)</f>
        <v>400912</v>
      </c>
      <c r="CC41" s="19">
        <f t="shared" si="10"/>
        <v>200000</v>
      </c>
      <c r="CD41" s="19">
        <v>0</v>
      </c>
      <c r="CE41" s="23">
        <v>200000</v>
      </c>
      <c r="CF41" s="19">
        <f>SUM(CG41:CK41)</f>
        <v>0</v>
      </c>
      <c r="CG41" s="19">
        <v>0</v>
      </c>
      <c r="CH41" s="19">
        <v>0</v>
      </c>
      <c r="CI41" s="19">
        <v>0</v>
      </c>
      <c r="CJ41" s="19">
        <v>0</v>
      </c>
      <c r="CK41" s="19">
        <v>0</v>
      </c>
      <c r="CL41" s="19">
        <f>SUM(CM41:CQ41)</f>
        <v>200912</v>
      </c>
      <c r="CM41" s="19"/>
      <c r="CN41" s="19"/>
      <c r="CO41" s="50">
        <v>200912</v>
      </c>
      <c r="CP41" s="19"/>
      <c r="CQ41" s="19"/>
      <c r="CR41" s="19"/>
      <c r="CS41" s="19"/>
      <c r="CT41" s="19">
        <v>0</v>
      </c>
      <c r="CU41" s="19"/>
      <c r="CV41" s="19"/>
      <c r="CW41" s="19"/>
      <c r="CX41" s="19">
        <f t="shared" si="11"/>
        <v>0</v>
      </c>
      <c r="CY41" s="19">
        <f t="shared" si="12"/>
        <v>0</v>
      </c>
      <c r="CZ41" s="19">
        <v>0</v>
      </c>
      <c r="DA41" s="20">
        <v>0</v>
      </c>
    </row>
    <row r="42" spans="1:106" s="86" customFormat="1" ht="15.75" x14ac:dyDescent="0.25">
      <c r="A42" s="73" t="s">
        <v>117</v>
      </c>
      <c r="B42" s="25" t="s">
        <v>1</v>
      </c>
      <c r="C42" s="26" t="s">
        <v>118</v>
      </c>
      <c r="D42" s="27">
        <f>SUM(D43+D45+D47+D49+D51)</f>
        <v>60624299</v>
      </c>
      <c r="E42" s="27">
        <f t="shared" ref="E42:BU42" si="62">SUM(E43+E45+E47+E49+E51)</f>
        <v>58055364</v>
      </c>
      <c r="F42" s="27">
        <f t="shared" si="62"/>
        <v>58015873</v>
      </c>
      <c r="G42" s="27">
        <f t="shared" si="62"/>
        <v>46330281</v>
      </c>
      <c r="H42" s="27">
        <f t="shared" si="62"/>
        <v>5711184</v>
      </c>
      <c r="I42" s="27">
        <f t="shared" si="62"/>
        <v>2123386</v>
      </c>
      <c r="J42" s="27">
        <f t="shared" si="62"/>
        <v>0</v>
      </c>
      <c r="K42" s="27">
        <f t="shared" si="62"/>
        <v>104670</v>
      </c>
      <c r="L42" s="27">
        <f t="shared" si="62"/>
        <v>0</v>
      </c>
      <c r="M42" s="27">
        <f t="shared" si="62"/>
        <v>0</v>
      </c>
      <c r="N42" s="27">
        <f t="shared" si="62"/>
        <v>1510888</v>
      </c>
      <c r="O42" s="27">
        <f t="shared" si="62"/>
        <v>507828</v>
      </c>
      <c r="P42" s="27">
        <f t="shared" si="62"/>
        <v>19017</v>
      </c>
      <c r="Q42" s="27">
        <f t="shared" si="62"/>
        <v>6009</v>
      </c>
      <c r="R42" s="27">
        <f t="shared" si="62"/>
        <v>13008</v>
      </c>
      <c r="S42" s="27">
        <f t="shared" si="62"/>
        <v>0</v>
      </c>
      <c r="T42" s="27">
        <f t="shared" si="62"/>
        <v>504237</v>
      </c>
      <c r="U42" s="27">
        <f t="shared" si="62"/>
        <v>623146</v>
      </c>
      <c r="V42" s="27">
        <f t="shared" si="62"/>
        <v>166887</v>
      </c>
      <c r="W42" s="27">
        <f t="shared" si="62"/>
        <v>125453</v>
      </c>
      <c r="X42" s="27">
        <f t="shared" si="62"/>
        <v>227712</v>
      </c>
      <c r="Y42" s="27">
        <f t="shared" si="62"/>
        <v>41755</v>
      </c>
      <c r="Z42" s="27">
        <f t="shared" si="62"/>
        <v>17253</v>
      </c>
      <c r="AA42" s="27">
        <f t="shared" si="62"/>
        <v>0</v>
      </c>
      <c r="AB42" s="27">
        <f t="shared" si="62"/>
        <v>0</v>
      </c>
      <c r="AC42" s="27">
        <f t="shared" si="62"/>
        <v>44086</v>
      </c>
      <c r="AD42" s="27">
        <f t="shared" ref="AD42" si="63">SUM(AD43+AD45+AD47+AD49+AD51)</f>
        <v>0</v>
      </c>
      <c r="AE42" s="27">
        <f t="shared" si="62"/>
        <v>2704622</v>
      </c>
      <c r="AF42" s="27">
        <f t="shared" si="62"/>
        <v>0</v>
      </c>
      <c r="AG42" s="27">
        <f t="shared" si="62"/>
        <v>0</v>
      </c>
      <c r="AH42" s="27">
        <f t="shared" si="62"/>
        <v>29681</v>
      </c>
      <c r="AI42" s="27">
        <f t="shared" si="62"/>
        <v>255736</v>
      </c>
      <c r="AJ42" s="27">
        <f t="shared" si="62"/>
        <v>0</v>
      </c>
      <c r="AK42" s="27">
        <f t="shared" si="62"/>
        <v>12983</v>
      </c>
      <c r="AL42" s="27">
        <f t="shared" si="62"/>
        <v>0</v>
      </c>
      <c r="AM42" s="27">
        <f t="shared" si="62"/>
        <v>3990</v>
      </c>
      <c r="AN42" s="27">
        <f t="shared" si="62"/>
        <v>92388</v>
      </c>
      <c r="AO42" s="27">
        <f t="shared" si="62"/>
        <v>157752</v>
      </c>
      <c r="AP42" s="27">
        <f t="shared" si="62"/>
        <v>0</v>
      </c>
      <c r="AQ42" s="27"/>
      <c r="AR42" s="27">
        <f t="shared" si="62"/>
        <v>0</v>
      </c>
      <c r="AS42" s="27">
        <f t="shared" si="62"/>
        <v>944798</v>
      </c>
      <c r="AT42" s="27">
        <f t="shared" si="62"/>
        <v>46732</v>
      </c>
      <c r="AU42" s="27">
        <f t="shared" si="62"/>
        <v>707136</v>
      </c>
      <c r="AV42" s="27"/>
      <c r="AW42" s="27">
        <f t="shared" si="62"/>
        <v>0</v>
      </c>
      <c r="AX42" s="27">
        <f t="shared" si="62"/>
        <v>0</v>
      </c>
      <c r="AY42" s="27">
        <f t="shared" si="62"/>
        <v>102712</v>
      </c>
      <c r="AZ42" s="27"/>
      <c r="BA42" s="27">
        <f t="shared" si="62"/>
        <v>350714</v>
      </c>
      <c r="BB42" s="27">
        <f t="shared" si="62"/>
        <v>39491</v>
      </c>
      <c r="BC42" s="27">
        <f t="shared" si="62"/>
        <v>0</v>
      </c>
      <c r="BD42" s="27">
        <f t="shared" si="62"/>
        <v>0</v>
      </c>
      <c r="BE42" s="27">
        <f t="shared" si="62"/>
        <v>0</v>
      </c>
      <c r="BF42" s="27">
        <f t="shared" si="62"/>
        <v>0</v>
      </c>
      <c r="BG42" s="27">
        <f t="shared" si="62"/>
        <v>0</v>
      </c>
      <c r="BH42" s="27">
        <f t="shared" si="62"/>
        <v>0</v>
      </c>
      <c r="BI42" s="27">
        <f t="shared" si="62"/>
        <v>0</v>
      </c>
      <c r="BJ42" s="27">
        <f t="shared" si="62"/>
        <v>0</v>
      </c>
      <c r="BK42" s="27">
        <f t="shared" ref="BK42" si="64">SUM(BK43+BK45+BK47+BK49+BK51)</f>
        <v>0</v>
      </c>
      <c r="BL42" s="27">
        <f t="shared" si="62"/>
        <v>0</v>
      </c>
      <c r="BM42" s="27">
        <f t="shared" si="62"/>
        <v>0</v>
      </c>
      <c r="BN42" s="27">
        <f t="shared" ref="BN42" si="65">SUM(BN43+BN45+BN47+BN49+BN51)</f>
        <v>0</v>
      </c>
      <c r="BO42" s="27">
        <f t="shared" si="62"/>
        <v>39491</v>
      </c>
      <c r="BP42" s="27">
        <f t="shared" si="62"/>
        <v>0</v>
      </c>
      <c r="BQ42" s="27">
        <f t="shared" si="62"/>
        <v>0</v>
      </c>
      <c r="BR42" s="27">
        <f t="shared" si="62"/>
        <v>0</v>
      </c>
      <c r="BS42" s="27">
        <f t="shared" si="62"/>
        <v>0</v>
      </c>
      <c r="BT42" s="27">
        <f t="shared" si="62"/>
        <v>0</v>
      </c>
      <c r="BU42" s="27">
        <f t="shared" si="62"/>
        <v>0</v>
      </c>
      <c r="BV42" s="27">
        <f t="shared" ref="BV42:DA42" si="66">SUM(BV43+BV45+BV47+BV49+BV51)</f>
        <v>0</v>
      </c>
      <c r="BW42" s="27">
        <f t="shared" si="66"/>
        <v>0</v>
      </c>
      <c r="BX42" s="27">
        <f t="shared" si="66"/>
        <v>0</v>
      </c>
      <c r="BY42" s="27">
        <f t="shared" si="66"/>
        <v>39491</v>
      </c>
      <c r="BZ42" s="27">
        <f t="shared" si="66"/>
        <v>0</v>
      </c>
      <c r="CA42" s="27">
        <f t="shared" si="66"/>
        <v>2568935</v>
      </c>
      <c r="CB42" s="27">
        <f t="shared" si="66"/>
        <v>2568935</v>
      </c>
      <c r="CC42" s="27">
        <f t="shared" si="66"/>
        <v>1236818</v>
      </c>
      <c r="CD42" s="27">
        <f t="shared" si="66"/>
        <v>0</v>
      </c>
      <c r="CE42" s="27">
        <f t="shared" si="66"/>
        <v>1236818</v>
      </c>
      <c r="CF42" s="27">
        <f t="shared" si="66"/>
        <v>0</v>
      </c>
      <c r="CG42" s="27">
        <f t="shared" si="66"/>
        <v>0</v>
      </c>
      <c r="CH42" s="27">
        <f t="shared" ref="CH42:CI42" si="67">SUM(CH43+CH45+CH47+CH49+CH51)</f>
        <v>0</v>
      </c>
      <c r="CI42" s="27">
        <f t="shared" si="67"/>
        <v>0</v>
      </c>
      <c r="CJ42" s="27">
        <f t="shared" si="66"/>
        <v>0</v>
      </c>
      <c r="CK42" s="27">
        <f t="shared" ref="CK42" si="68">SUM(CK43+CK45+CK47+CK49+CK51)</f>
        <v>0</v>
      </c>
      <c r="CL42" s="27">
        <f t="shared" si="66"/>
        <v>1332117</v>
      </c>
      <c r="CM42" s="27">
        <f t="shared" si="66"/>
        <v>0</v>
      </c>
      <c r="CN42" s="27">
        <f t="shared" ref="CN42" si="69">SUM(CN43+CN45+CN47+CN49+CN51)</f>
        <v>0</v>
      </c>
      <c r="CO42" s="27">
        <f t="shared" si="66"/>
        <v>1332117</v>
      </c>
      <c r="CP42" s="27"/>
      <c r="CQ42" s="27"/>
      <c r="CR42" s="27"/>
      <c r="CS42" s="27"/>
      <c r="CT42" s="27">
        <f t="shared" si="66"/>
        <v>0</v>
      </c>
      <c r="CU42" s="27"/>
      <c r="CV42" s="27"/>
      <c r="CW42" s="27"/>
      <c r="CX42" s="27">
        <f t="shared" si="66"/>
        <v>0</v>
      </c>
      <c r="CY42" s="27">
        <f t="shared" si="66"/>
        <v>0</v>
      </c>
      <c r="CZ42" s="27">
        <f t="shared" si="66"/>
        <v>0</v>
      </c>
      <c r="DA42" s="55">
        <f t="shared" si="66"/>
        <v>0</v>
      </c>
      <c r="DB42" s="85"/>
    </row>
    <row r="43" spans="1:106" s="86" customFormat="1" ht="15.75" x14ac:dyDescent="0.25">
      <c r="A43" s="71" t="s">
        <v>119</v>
      </c>
      <c r="B43" s="16" t="s">
        <v>1</v>
      </c>
      <c r="C43" s="17" t="s">
        <v>120</v>
      </c>
      <c r="D43" s="18">
        <f t="shared" ref="D43:BR43" si="70">SUM(D44)</f>
        <v>5013360</v>
      </c>
      <c r="E43" s="18">
        <f t="shared" si="70"/>
        <v>4957383</v>
      </c>
      <c r="F43" s="18">
        <f t="shared" si="70"/>
        <v>4945497</v>
      </c>
      <c r="G43" s="18">
        <f t="shared" si="70"/>
        <v>4013382</v>
      </c>
      <c r="H43" s="18">
        <f t="shared" si="70"/>
        <v>616118</v>
      </c>
      <c r="I43" s="18">
        <f t="shared" si="70"/>
        <v>94831</v>
      </c>
      <c r="J43" s="18">
        <f t="shared" si="70"/>
        <v>0</v>
      </c>
      <c r="K43" s="18">
        <f t="shared" si="70"/>
        <v>0</v>
      </c>
      <c r="L43" s="18">
        <f t="shared" si="70"/>
        <v>0</v>
      </c>
      <c r="M43" s="18">
        <f t="shared" si="70"/>
        <v>0</v>
      </c>
      <c r="N43" s="18">
        <f t="shared" si="70"/>
        <v>67421</v>
      </c>
      <c r="O43" s="18">
        <f t="shared" si="70"/>
        <v>27410</v>
      </c>
      <c r="P43" s="18">
        <f t="shared" si="70"/>
        <v>0</v>
      </c>
      <c r="Q43" s="18">
        <f t="shared" si="70"/>
        <v>0</v>
      </c>
      <c r="R43" s="18">
        <f t="shared" si="70"/>
        <v>0</v>
      </c>
      <c r="S43" s="18">
        <f t="shared" si="70"/>
        <v>0</v>
      </c>
      <c r="T43" s="18">
        <f t="shared" si="70"/>
        <v>19415</v>
      </c>
      <c r="U43" s="18">
        <f t="shared" si="70"/>
        <v>81121</v>
      </c>
      <c r="V43" s="18">
        <f t="shared" si="70"/>
        <v>9967</v>
      </c>
      <c r="W43" s="18">
        <f t="shared" si="70"/>
        <v>0</v>
      </c>
      <c r="X43" s="18">
        <f t="shared" si="70"/>
        <v>52629</v>
      </c>
      <c r="Y43" s="18">
        <f t="shared" si="70"/>
        <v>7131</v>
      </c>
      <c r="Z43" s="18">
        <f t="shared" si="70"/>
        <v>1147</v>
      </c>
      <c r="AA43" s="18">
        <f t="shared" si="70"/>
        <v>0</v>
      </c>
      <c r="AB43" s="18">
        <f t="shared" si="70"/>
        <v>0</v>
      </c>
      <c r="AC43" s="18">
        <f t="shared" si="70"/>
        <v>10247</v>
      </c>
      <c r="AD43" s="18">
        <f t="shared" si="70"/>
        <v>0</v>
      </c>
      <c r="AE43" s="18">
        <f t="shared" si="70"/>
        <v>120630</v>
      </c>
      <c r="AF43" s="18">
        <f t="shared" si="70"/>
        <v>0</v>
      </c>
      <c r="AG43" s="18">
        <f t="shared" si="70"/>
        <v>0</v>
      </c>
      <c r="AH43" s="18">
        <f t="shared" si="70"/>
        <v>4587</v>
      </c>
      <c r="AI43" s="18">
        <f t="shared" si="70"/>
        <v>2464</v>
      </c>
      <c r="AJ43" s="18">
        <f t="shared" si="70"/>
        <v>0</v>
      </c>
      <c r="AK43" s="18">
        <f t="shared" si="70"/>
        <v>5000</v>
      </c>
      <c r="AL43" s="18">
        <f t="shared" si="70"/>
        <v>0</v>
      </c>
      <c r="AM43" s="18">
        <f t="shared" si="70"/>
        <v>500</v>
      </c>
      <c r="AN43" s="18">
        <f t="shared" si="70"/>
        <v>10000</v>
      </c>
      <c r="AO43" s="18">
        <f t="shared" si="70"/>
        <v>69646</v>
      </c>
      <c r="AP43" s="18">
        <f t="shared" si="70"/>
        <v>0</v>
      </c>
      <c r="AQ43" s="18"/>
      <c r="AR43" s="18">
        <f t="shared" si="70"/>
        <v>0</v>
      </c>
      <c r="AS43" s="18">
        <f t="shared" si="70"/>
        <v>15523</v>
      </c>
      <c r="AT43" s="18">
        <f t="shared" si="70"/>
        <v>12400</v>
      </c>
      <c r="AU43" s="18"/>
      <c r="AV43" s="18"/>
      <c r="AW43" s="18">
        <f t="shared" si="70"/>
        <v>0</v>
      </c>
      <c r="AX43" s="18">
        <f t="shared" si="70"/>
        <v>0</v>
      </c>
      <c r="AY43" s="18">
        <f t="shared" si="70"/>
        <v>0</v>
      </c>
      <c r="AZ43" s="18"/>
      <c r="BA43" s="18">
        <f t="shared" si="70"/>
        <v>510</v>
      </c>
      <c r="BB43" s="18">
        <f t="shared" si="70"/>
        <v>11886</v>
      </c>
      <c r="BC43" s="18">
        <f t="shared" si="70"/>
        <v>0</v>
      </c>
      <c r="BD43" s="18">
        <f t="shared" si="70"/>
        <v>0</v>
      </c>
      <c r="BE43" s="18">
        <f t="shared" si="70"/>
        <v>0</v>
      </c>
      <c r="BF43" s="18">
        <f t="shared" si="70"/>
        <v>0</v>
      </c>
      <c r="BG43" s="18">
        <f t="shared" si="70"/>
        <v>0</v>
      </c>
      <c r="BH43" s="18">
        <f t="shared" si="70"/>
        <v>0</v>
      </c>
      <c r="BI43" s="18">
        <f t="shared" si="70"/>
        <v>0</v>
      </c>
      <c r="BJ43" s="18">
        <f t="shared" si="70"/>
        <v>0</v>
      </c>
      <c r="BK43" s="18">
        <f t="shared" si="70"/>
        <v>0</v>
      </c>
      <c r="BL43" s="18">
        <f t="shared" si="70"/>
        <v>0</v>
      </c>
      <c r="BM43" s="18">
        <f t="shared" si="70"/>
        <v>0</v>
      </c>
      <c r="BN43" s="18">
        <f t="shared" si="70"/>
        <v>0</v>
      </c>
      <c r="BO43" s="18">
        <f t="shared" si="70"/>
        <v>11886</v>
      </c>
      <c r="BP43" s="18">
        <f t="shared" si="70"/>
        <v>0</v>
      </c>
      <c r="BQ43" s="18">
        <f t="shared" si="70"/>
        <v>0</v>
      </c>
      <c r="BR43" s="18">
        <f t="shared" si="70"/>
        <v>0</v>
      </c>
      <c r="BS43" s="18">
        <f t="shared" ref="BS43:DA43" si="71">SUM(BS44)</f>
        <v>0</v>
      </c>
      <c r="BT43" s="18">
        <f t="shared" si="71"/>
        <v>0</v>
      </c>
      <c r="BU43" s="18">
        <f t="shared" si="71"/>
        <v>0</v>
      </c>
      <c r="BV43" s="18">
        <f t="shared" si="71"/>
        <v>0</v>
      </c>
      <c r="BW43" s="18">
        <f t="shared" si="71"/>
        <v>0</v>
      </c>
      <c r="BX43" s="18">
        <f t="shared" si="71"/>
        <v>0</v>
      </c>
      <c r="BY43" s="18">
        <f t="shared" si="71"/>
        <v>11886</v>
      </c>
      <c r="BZ43" s="18">
        <f t="shared" si="71"/>
        <v>0</v>
      </c>
      <c r="CA43" s="18">
        <f t="shared" si="71"/>
        <v>55977</v>
      </c>
      <c r="CB43" s="18">
        <f t="shared" si="71"/>
        <v>55977</v>
      </c>
      <c r="CC43" s="18">
        <f t="shared" si="71"/>
        <v>55977</v>
      </c>
      <c r="CD43" s="18">
        <f t="shared" si="71"/>
        <v>0</v>
      </c>
      <c r="CE43" s="18">
        <f t="shared" si="71"/>
        <v>55977</v>
      </c>
      <c r="CF43" s="18">
        <f t="shared" si="71"/>
        <v>0</v>
      </c>
      <c r="CG43" s="18">
        <f t="shared" si="71"/>
        <v>0</v>
      </c>
      <c r="CH43" s="18">
        <f t="shared" si="71"/>
        <v>0</v>
      </c>
      <c r="CI43" s="18">
        <f t="shared" si="71"/>
        <v>0</v>
      </c>
      <c r="CJ43" s="18">
        <f t="shared" si="71"/>
        <v>0</v>
      </c>
      <c r="CK43" s="18">
        <f t="shared" si="71"/>
        <v>0</v>
      </c>
      <c r="CL43" s="18">
        <f t="shared" si="71"/>
        <v>0</v>
      </c>
      <c r="CM43" s="18">
        <f t="shared" si="71"/>
        <v>0</v>
      </c>
      <c r="CN43" s="18">
        <f t="shared" si="71"/>
        <v>0</v>
      </c>
      <c r="CO43" s="18">
        <f t="shared" si="71"/>
        <v>0</v>
      </c>
      <c r="CP43" s="18"/>
      <c r="CQ43" s="18"/>
      <c r="CR43" s="18"/>
      <c r="CS43" s="18"/>
      <c r="CT43" s="18">
        <f t="shared" si="71"/>
        <v>0</v>
      </c>
      <c r="CU43" s="18"/>
      <c r="CV43" s="18"/>
      <c r="CW43" s="18"/>
      <c r="CX43" s="18">
        <f t="shared" si="71"/>
        <v>0</v>
      </c>
      <c r="CY43" s="18">
        <f t="shared" si="71"/>
        <v>0</v>
      </c>
      <c r="CZ43" s="18">
        <f t="shared" si="71"/>
        <v>0</v>
      </c>
      <c r="DA43" s="46">
        <f t="shared" si="71"/>
        <v>0</v>
      </c>
      <c r="DB43" s="85"/>
    </row>
    <row r="44" spans="1:106" ht="15.75" x14ac:dyDescent="0.25">
      <c r="A44" s="72" t="s">
        <v>1</v>
      </c>
      <c r="B44" s="21" t="s">
        <v>121</v>
      </c>
      <c r="C44" s="22" t="s">
        <v>122</v>
      </c>
      <c r="D44" s="18">
        <f>SUM(E44+CA44+CX44)</f>
        <v>5013360</v>
      </c>
      <c r="E44" s="19">
        <f>SUM(F44+BB44)</f>
        <v>4957383</v>
      </c>
      <c r="F44" s="19">
        <f>SUM(G44+H44+I44+P44+S44+T44+U44+AE44)</f>
        <v>4945497</v>
      </c>
      <c r="G44" s="23">
        <v>4013382</v>
      </c>
      <c r="H44" s="23">
        <v>616118</v>
      </c>
      <c r="I44" s="19">
        <f t="shared" si="7"/>
        <v>94831</v>
      </c>
      <c r="J44" s="23">
        <v>0</v>
      </c>
      <c r="K44" s="23">
        <v>0</v>
      </c>
      <c r="L44" s="23">
        <v>0</v>
      </c>
      <c r="M44" s="23">
        <v>0</v>
      </c>
      <c r="N44" s="23">
        <v>67421</v>
      </c>
      <c r="O44" s="23">
        <v>27410</v>
      </c>
      <c r="P44" s="19">
        <f t="shared" si="8"/>
        <v>0</v>
      </c>
      <c r="Q44" s="19">
        <v>0</v>
      </c>
      <c r="R44" s="19">
        <v>0</v>
      </c>
      <c r="S44" s="19">
        <v>0</v>
      </c>
      <c r="T44" s="23">
        <v>19415</v>
      </c>
      <c r="U44" s="19">
        <f>SUM(V44:AC44)</f>
        <v>81121</v>
      </c>
      <c r="V44" s="23">
        <v>9967</v>
      </c>
      <c r="W44" s="23">
        <v>0</v>
      </c>
      <c r="X44" s="23">
        <v>52629</v>
      </c>
      <c r="Y44" s="23">
        <v>7131</v>
      </c>
      <c r="Z44" s="23">
        <v>1147</v>
      </c>
      <c r="AA44" s="23">
        <v>0</v>
      </c>
      <c r="AB44" s="23">
        <v>0</v>
      </c>
      <c r="AC44" s="23">
        <v>10247</v>
      </c>
      <c r="AD44" s="19">
        <v>0</v>
      </c>
      <c r="AE44" s="19">
        <f>SUM(AF44:BA44)</f>
        <v>120630</v>
      </c>
      <c r="AF44" s="19">
        <v>0</v>
      </c>
      <c r="AG44" s="19">
        <v>0</v>
      </c>
      <c r="AH44" s="23">
        <v>4587</v>
      </c>
      <c r="AI44" s="23">
        <v>2464</v>
      </c>
      <c r="AJ44" s="23">
        <v>0</v>
      </c>
      <c r="AK44" s="23">
        <v>5000</v>
      </c>
      <c r="AL44" s="23">
        <v>0</v>
      </c>
      <c r="AM44" s="23">
        <v>500</v>
      </c>
      <c r="AN44" s="23">
        <v>10000</v>
      </c>
      <c r="AO44" s="23">
        <v>69646</v>
      </c>
      <c r="AP44" s="23">
        <v>0</v>
      </c>
      <c r="AQ44" s="23"/>
      <c r="AR44" s="23">
        <v>0</v>
      </c>
      <c r="AS44" s="23">
        <v>15523</v>
      </c>
      <c r="AT44" s="23">
        <v>12400</v>
      </c>
      <c r="AU44" s="23">
        <v>0</v>
      </c>
      <c r="AV44" s="23">
        <v>0</v>
      </c>
      <c r="AW44" s="23">
        <v>0</v>
      </c>
      <c r="AX44" s="23">
        <v>0</v>
      </c>
      <c r="AY44" s="23">
        <v>0</v>
      </c>
      <c r="AZ44" s="23">
        <v>0</v>
      </c>
      <c r="BA44" s="23">
        <v>510</v>
      </c>
      <c r="BB44" s="19">
        <f>SUM(BC44+BG44+BJ44+BL44+BO44)</f>
        <v>11886</v>
      </c>
      <c r="BC44" s="19">
        <f>SUM(BD44:BF44)</f>
        <v>0</v>
      </c>
      <c r="BD44" s="19">
        <v>0</v>
      </c>
      <c r="BE44" s="19">
        <v>0</v>
      </c>
      <c r="BF44" s="19">
        <v>0</v>
      </c>
      <c r="BG44" s="19">
        <f>SUM(BI44:BI44)</f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f t="shared" si="9"/>
        <v>0</v>
      </c>
      <c r="BM44" s="19">
        <v>0</v>
      </c>
      <c r="BN44" s="19">
        <v>0</v>
      </c>
      <c r="BO44" s="19">
        <f>SUM(BP44:BZ44)</f>
        <v>11886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0</v>
      </c>
      <c r="BY44" s="19">
        <v>11886</v>
      </c>
      <c r="BZ44" s="19">
        <v>0</v>
      </c>
      <c r="CA44" s="19">
        <f>SUM(CB44+CT44)</f>
        <v>55977</v>
      </c>
      <c r="CB44" s="19">
        <f>SUM(CC44+CF44+CL44)</f>
        <v>55977</v>
      </c>
      <c r="CC44" s="19">
        <f t="shared" si="10"/>
        <v>55977</v>
      </c>
      <c r="CD44" s="19">
        <v>0</v>
      </c>
      <c r="CE44" s="23">
        <v>55977</v>
      </c>
      <c r="CF44" s="19">
        <f>SUM(CG44:CK44)</f>
        <v>0</v>
      </c>
      <c r="CG44" s="19">
        <v>0</v>
      </c>
      <c r="CH44" s="19">
        <v>0</v>
      </c>
      <c r="CI44" s="19">
        <v>0</v>
      </c>
      <c r="CJ44" s="19">
        <v>0</v>
      </c>
      <c r="CK44" s="19">
        <v>0</v>
      </c>
      <c r="CL44" s="19">
        <f>SUM(CM44:CQ44)</f>
        <v>0</v>
      </c>
      <c r="CM44" s="19">
        <v>0</v>
      </c>
      <c r="CN44" s="19">
        <v>0</v>
      </c>
      <c r="CO44" s="19">
        <v>0</v>
      </c>
      <c r="CP44" s="19"/>
      <c r="CQ44" s="19"/>
      <c r="CR44" s="19"/>
      <c r="CS44" s="19"/>
      <c r="CT44" s="19">
        <v>0</v>
      </c>
      <c r="CU44" s="19"/>
      <c r="CV44" s="19"/>
      <c r="CW44" s="19"/>
      <c r="CX44" s="19">
        <f t="shared" si="11"/>
        <v>0</v>
      </c>
      <c r="CY44" s="19">
        <f t="shared" si="12"/>
        <v>0</v>
      </c>
      <c r="CZ44" s="19">
        <v>0</v>
      </c>
      <c r="DA44" s="20">
        <v>0</v>
      </c>
    </row>
    <row r="45" spans="1:106" s="86" customFormat="1" ht="15.75" x14ac:dyDescent="0.25">
      <c r="A45" s="71" t="s">
        <v>123</v>
      </c>
      <c r="B45" s="16" t="s">
        <v>1</v>
      </c>
      <c r="C45" s="17" t="s">
        <v>124</v>
      </c>
      <c r="D45" s="18">
        <f t="shared" ref="D45:AK45" si="72">SUM(D46)</f>
        <v>14828979</v>
      </c>
      <c r="E45" s="18">
        <f t="shared" si="72"/>
        <v>14557731</v>
      </c>
      <c r="F45" s="18">
        <f t="shared" si="72"/>
        <v>14557731</v>
      </c>
      <c r="G45" s="18">
        <f t="shared" si="72"/>
        <v>12097977</v>
      </c>
      <c r="H45" s="18">
        <f t="shared" si="72"/>
        <v>1203808</v>
      </c>
      <c r="I45" s="18">
        <f t="shared" si="72"/>
        <v>514937</v>
      </c>
      <c r="J45" s="18">
        <f t="shared" si="72"/>
        <v>0</v>
      </c>
      <c r="K45" s="18">
        <f t="shared" si="72"/>
        <v>79520</v>
      </c>
      <c r="L45" s="18">
        <f t="shared" si="72"/>
        <v>0</v>
      </c>
      <c r="M45" s="18">
        <f t="shared" si="72"/>
        <v>0</v>
      </c>
      <c r="N45" s="18">
        <f t="shared" si="72"/>
        <v>386708</v>
      </c>
      <c r="O45" s="18">
        <f t="shared" si="72"/>
        <v>48709</v>
      </c>
      <c r="P45" s="18">
        <f t="shared" si="72"/>
        <v>19017</v>
      </c>
      <c r="Q45" s="18">
        <f t="shared" si="72"/>
        <v>6009</v>
      </c>
      <c r="R45" s="18">
        <f t="shared" si="72"/>
        <v>13008</v>
      </c>
      <c r="S45" s="18">
        <f t="shared" si="72"/>
        <v>0</v>
      </c>
      <c r="T45" s="18">
        <f t="shared" si="72"/>
        <v>29244</v>
      </c>
      <c r="U45" s="18">
        <f t="shared" si="72"/>
        <v>107963</v>
      </c>
      <c r="V45" s="18">
        <f t="shared" si="72"/>
        <v>9094</v>
      </c>
      <c r="W45" s="18">
        <f t="shared" si="72"/>
        <v>50235</v>
      </c>
      <c r="X45" s="18">
        <f t="shared" si="72"/>
        <v>39520</v>
      </c>
      <c r="Y45" s="18">
        <f t="shared" si="72"/>
        <v>5790</v>
      </c>
      <c r="Z45" s="18">
        <f t="shared" si="72"/>
        <v>3324</v>
      </c>
      <c r="AA45" s="18">
        <f t="shared" si="72"/>
        <v>0</v>
      </c>
      <c r="AB45" s="18">
        <f t="shared" si="72"/>
        <v>0</v>
      </c>
      <c r="AC45" s="18">
        <f t="shared" si="72"/>
        <v>0</v>
      </c>
      <c r="AD45" s="18">
        <f t="shared" si="72"/>
        <v>0</v>
      </c>
      <c r="AE45" s="18">
        <f t="shared" si="72"/>
        <v>584785</v>
      </c>
      <c r="AF45" s="18">
        <f t="shared" si="72"/>
        <v>0</v>
      </c>
      <c r="AG45" s="18">
        <f t="shared" si="72"/>
        <v>0</v>
      </c>
      <c r="AH45" s="18">
        <f t="shared" si="72"/>
        <v>574</v>
      </c>
      <c r="AI45" s="18">
        <f t="shared" si="72"/>
        <v>157565</v>
      </c>
      <c r="AJ45" s="18">
        <f t="shared" si="72"/>
        <v>0</v>
      </c>
      <c r="AK45" s="18">
        <f t="shared" si="72"/>
        <v>0</v>
      </c>
      <c r="AL45" s="18">
        <f t="shared" ref="AL45:DA45" si="73">SUM(AL46)</f>
        <v>0</v>
      </c>
      <c r="AM45" s="18">
        <f t="shared" si="73"/>
        <v>141</v>
      </c>
      <c r="AN45" s="18">
        <f t="shared" si="73"/>
        <v>10458</v>
      </c>
      <c r="AO45" s="18">
        <f t="shared" si="73"/>
        <v>49112</v>
      </c>
      <c r="AP45" s="18">
        <f t="shared" si="73"/>
        <v>0</v>
      </c>
      <c r="AQ45" s="18"/>
      <c r="AR45" s="18">
        <f t="shared" si="73"/>
        <v>0</v>
      </c>
      <c r="AS45" s="18">
        <f t="shared" si="73"/>
        <v>297509</v>
      </c>
      <c r="AT45" s="18">
        <f t="shared" si="73"/>
        <v>216</v>
      </c>
      <c r="AU45" s="18"/>
      <c r="AV45" s="18"/>
      <c r="AW45" s="18">
        <f t="shared" si="73"/>
        <v>0</v>
      </c>
      <c r="AX45" s="18">
        <f t="shared" si="73"/>
        <v>0</v>
      </c>
      <c r="AY45" s="18">
        <f t="shared" si="73"/>
        <v>45000</v>
      </c>
      <c r="AZ45" s="18"/>
      <c r="BA45" s="18">
        <f t="shared" si="73"/>
        <v>24210</v>
      </c>
      <c r="BB45" s="18">
        <f t="shared" si="73"/>
        <v>0</v>
      </c>
      <c r="BC45" s="18">
        <f t="shared" si="73"/>
        <v>0</v>
      </c>
      <c r="BD45" s="18">
        <f t="shared" si="73"/>
        <v>0</v>
      </c>
      <c r="BE45" s="18">
        <f t="shared" si="73"/>
        <v>0</v>
      </c>
      <c r="BF45" s="18">
        <f t="shared" si="73"/>
        <v>0</v>
      </c>
      <c r="BG45" s="18">
        <f t="shared" si="73"/>
        <v>0</v>
      </c>
      <c r="BH45" s="18">
        <f t="shared" si="73"/>
        <v>0</v>
      </c>
      <c r="BI45" s="18">
        <f t="shared" si="73"/>
        <v>0</v>
      </c>
      <c r="BJ45" s="18">
        <f t="shared" si="73"/>
        <v>0</v>
      </c>
      <c r="BK45" s="18">
        <f t="shared" si="73"/>
        <v>0</v>
      </c>
      <c r="BL45" s="18">
        <f t="shared" si="73"/>
        <v>0</v>
      </c>
      <c r="BM45" s="18">
        <f t="shared" si="73"/>
        <v>0</v>
      </c>
      <c r="BN45" s="18">
        <f t="shared" si="73"/>
        <v>0</v>
      </c>
      <c r="BO45" s="18">
        <f t="shared" si="73"/>
        <v>0</v>
      </c>
      <c r="BP45" s="18">
        <f t="shared" si="73"/>
        <v>0</v>
      </c>
      <c r="BQ45" s="18">
        <f t="shared" si="73"/>
        <v>0</v>
      </c>
      <c r="BR45" s="18">
        <f t="shared" si="73"/>
        <v>0</v>
      </c>
      <c r="BS45" s="18">
        <f t="shared" si="73"/>
        <v>0</v>
      </c>
      <c r="BT45" s="18">
        <f t="shared" si="73"/>
        <v>0</v>
      </c>
      <c r="BU45" s="18">
        <f t="shared" si="73"/>
        <v>0</v>
      </c>
      <c r="BV45" s="18">
        <f t="shared" si="73"/>
        <v>0</v>
      </c>
      <c r="BW45" s="18">
        <f t="shared" si="73"/>
        <v>0</v>
      </c>
      <c r="BX45" s="18">
        <f t="shared" si="73"/>
        <v>0</v>
      </c>
      <c r="BY45" s="18">
        <f t="shared" si="73"/>
        <v>0</v>
      </c>
      <c r="BZ45" s="18">
        <f t="shared" si="73"/>
        <v>0</v>
      </c>
      <c r="CA45" s="18">
        <f t="shared" si="73"/>
        <v>271248</v>
      </c>
      <c r="CB45" s="18">
        <f t="shared" si="73"/>
        <v>271248</v>
      </c>
      <c r="CC45" s="18">
        <f t="shared" si="73"/>
        <v>271248</v>
      </c>
      <c r="CD45" s="18">
        <f t="shared" si="73"/>
        <v>0</v>
      </c>
      <c r="CE45" s="18">
        <f t="shared" si="73"/>
        <v>271248</v>
      </c>
      <c r="CF45" s="18">
        <f t="shared" si="73"/>
        <v>0</v>
      </c>
      <c r="CG45" s="18">
        <f t="shared" si="73"/>
        <v>0</v>
      </c>
      <c r="CH45" s="18">
        <f t="shared" si="73"/>
        <v>0</v>
      </c>
      <c r="CI45" s="18">
        <f t="shared" si="73"/>
        <v>0</v>
      </c>
      <c r="CJ45" s="18">
        <f t="shared" si="73"/>
        <v>0</v>
      </c>
      <c r="CK45" s="18">
        <f t="shared" si="73"/>
        <v>0</v>
      </c>
      <c r="CL45" s="18">
        <f t="shared" si="73"/>
        <v>0</v>
      </c>
      <c r="CM45" s="18">
        <f t="shared" si="73"/>
        <v>0</v>
      </c>
      <c r="CN45" s="18">
        <f t="shared" si="73"/>
        <v>0</v>
      </c>
      <c r="CO45" s="18">
        <f t="shared" si="73"/>
        <v>0</v>
      </c>
      <c r="CP45" s="18"/>
      <c r="CQ45" s="18"/>
      <c r="CR45" s="18"/>
      <c r="CS45" s="18"/>
      <c r="CT45" s="18">
        <f t="shared" si="73"/>
        <v>0</v>
      </c>
      <c r="CU45" s="18"/>
      <c r="CV45" s="18"/>
      <c r="CW45" s="18"/>
      <c r="CX45" s="18">
        <f t="shared" si="73"/>
        <v>0</v>
      </c>
      <c r="CY45" s="18">
        <f t="shared" si="73"/>
        <v>0</v>
      </c>
      <c r="CZ45" s="18">
        <f t="shared" si="73"/>
        <v>0</v>
      </c>
      <c r="DA45" s="46">
        <f t="shared" si="73"/>
        <v>0</v>
      </c>
      <c r="DB45" s="85"/>
    </row>
    <row r="46" spans="1:106" ht="15.75" x14ac:dyDescent="0.25">
      <c r="A46" s="72" t="s">
        <v>1</v>
      </c>
      <c r="B46" s="21" t="s">
        <v>125</v>
      </c>
      <c r="C46" s="22" t="s">
        <v>126</v>
      </c>
      <c r="D46" s="18">
        <f>SUM(E46+CA46+CX46)</f>
        <v>14828979</v>
      </c>
      <c r="E46" s="19">
        <f>SUM(F46+BB46)</f>
        <v>14557731</v>
      </c>
      <c r="F46" s="19">
        <f>SUM(G46+H46+I46+P46+S46+T46+U46+AE46)</f>
        <v>14557731</v>
      </c>
      <c r="G46" s="23">
        <v>12097977</v>
      </c>
      <c r="H46" s="23">
        <v>1203808</v>
      </c>
      <c r="I46" s="19">
        <f t="shared" si="7"/>
        <v>514937</v>
      </c>
      <c r="J46" s="23">
        <v>0</v>
      </c>
      <c r="K46" s="23">
        <v>79520</v>
      </c>
      <c r="L46" s="23">
        <v>0</v>
      </c>
      <c r="M46" s="23">
        <v>0</v>
      </c>
      <c r="N46" s="23">
        <v>386708</v>
      </c>
      <c r="O46" s="23">
        <v>48709</v>
      </c>
      <c r="P46" s="19">
        <f t="shared" si="8"/>
        <v>19017</v>
      </c>
      <c r="Q46" s="23">
        <f>11542-5533</f>
        <v>6009</v>
      </c>
      <c r="R46" s="23">
        <v>13008</v>
      </c>
      <c r="S46" s="23">
        <v>0</v>
      </c>
      <c r="T46" s="23">
        <v>29244</v>
      </c>
      <c r="U46" s="19">
        <f>SUM(V46:AC46)</f>
        <v>107963</v>
      </c>
      <c r="V46" s="23">
        <f>9631-537</f>
        <v>9094</v>
      </c>
      <c r="W46" s="23">
        <f>44702+5533</f>
        <v>50235</v>
      </c>
      <c r="X46" s="23">
        <f>31208+8312</f>
        <v>39520</v>
      </c>
      <c r="Y46" s="23">
        <f>5253+537</f>
        <v>5790</v>
      </c>
      <c r="Z46" s="23">
        <v>3324</v>
      </c>
      <c r="AA46" s="23">
        <v>0</v>
      </c>
      <c r="AB46" s="23">
        <v>0</v>
      </c>
      <c r="AC46" s="23">
        <v>0</v>
      </c>
      <c r="AD46" s="19">
        <v>0</v>
      </c>
      <c r="AE46" s="19">
        <f>SUM(AF46:BA46)</f>
        <v>584785</v>
      </c>
      <c r="AF46" s="19">
        <v>0</v>
      </c>
      <c r="AG46" s="19">
        <v>0</v>
      </c>
      <c r="AH46" s="23">
        <v>574</v>
      </c>
      <c r="AI46" s="23">
        <v>157565</v>
      </c>
      <c r="AJ46" s="23">
        <v>0</v>
      </c>
      <c r="AK46" s="23">
        <v>0</v>
      </c>
      <c r="AL46" s="23">
        <v>0</v>
      </c>
      <c r="AM46" s="23">
        <v>141</v>
      </c>
      <c r="AN46" s="23">
        <v>10458</v>
      </c>
      <c r="AO46" s="23">
        <f>57424-8312</f>
        <v>49112</v>
      </c>
      <c r="AP46" s="23">
        <v>0</v>
      </c>
      <c r="AQ46" s="23"/>
      <c r="AR46" s="23">
        <v>0</v>
      </c>
      <c r="AS46" s="23">
        <v>297509</v>
      </c>
      <c r="AT46" s="23">
        <v>216</v>
      </c>
      <c r="AU46" s="23">
        <v>0</v>
      </c>
      <c r="AV46" s="23">
        <v>0</v>
      </c>
      <c r="AW46" s="23">
        <v>0</v>
      </c>
      <c r="AX46" s="23">
        <v>0</v>
      </c>
      <c r="AY46" s="23">
        <v>45000</v>
      </c>
      <c r="AZ46" s="23">
        <v>0</v>
      </c>
      <c r="BA46" s="23">
        <v>24210</v>
      </c>
      <c r="BB46" s="19">
        <f>SUM(BC46+BG46+BJ46+BL46+BO46)</f>
        <v>0</v>
      </c>
      <c r="BC46" s="19">
        <f>SUM(BD46:BF46)</f>
        <v>0</v>
      </c>
      <c r="BD46" s="19">
        <v>0</v>
      </c>
      <c r="BE46" s="19">
        <v>0</v>
      </c>
      <c r="BF46" s="19">
        <v>0</v>
      </c>
      <c r="BG46" s="19">
        <f>SUM(BI46:BI46)</f>
        <v>0</v>
      </c>
      <c r="BH46" s="19">
        <v>0</v>
      </c>
      <c r="BI46" s="19">
        <v>0</v>
      </c>
      <c r="BJ46" s="19">
        <v>0</v>
      </c>
      <c r="BK46" s="19">
        <v>0</v>
      </c>
      <c r="BL46" s="19">
        <f t="shared" si="9"/>
        <v>0</v>
      </c>
      <c r="BM46" s="19">
        <v>0</v>
      </c>
      <c r="BN46" s="19">
        <v>0</v>
      </c>
      <c r="BO46" s="19">
        <f>SUM(BP46:BZ46)</f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19">
        <v>0</v>
      </c>
      <c r="CA46" s="19">
        <f>SUM(CB46+CT46)</f>
        <v>271248</v>
      </c>
      <c r="CB46" s="19">
        <f>SUM(CC46+CF46+CL46)</f>
        <v>271248</v>
      </c>
      <c r="CC46" s="19">
        <f t="shared" si="10"/>
        <v>271248</v>
      </c>
      <c r="CD46" s="19">
        <v>0</v>
      </c>
      <c r="CE46" s="23">
        <v>271248</v>
      </c>
      <c r="CF46" s="19">
        <f>SUM(CG46:CK46)</f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v>0</v>
      </c>
      <c r="CL46" s="19">
        <f>SUM(CM46:CQ46)</f>
        <v>0</v>
      </c>
      <c r="CM46" s="19">
        <v>0</v>
      </c>
      <c r="CN46" s="19">
        <v>0</v>
      </c>
      <c r="CO46" s="19">
        <v>0</v>
      </c>
      <c r="CP46" s="19"/>
      <c r="CQ46" s="19"/>
      <c r="CR46" s="19"/>
      <c r="CS46" s="19"/>
      <c r="CT46" s="19">
        <v>0</v>
      </c>
      <c r="CU46" s="19"/>
      <c r="CV46" s="19"/>
      <c r="CW46" s="19"/>
      <c r="CX46" s="19">
        <f t="shared" si="11"/>
        <v>0</v>
      </c>
      <c r="CY46" s="19">
        <f t="shared" si="12"/>
        <v>0</v>
      </c>
      <c r="CZ46" s="19">
        <v>0</v>
      </c>
      <c r="DA46" s="20">
        <v>0</v>
      </c>
    </row>
    <row r="47" spans="1:106" s="86" customFormat="1" ht="15.75" x14ac:dyDescent="0.25">
      <c r="A47" s="71" t="s">
        <v>127</v>
      </c>
      <c r="B47" s="16" t="s">
        <v>1</v>
      </c>
      <c r="C47" s="17" t="s">
        <v>128</v>
      </c>
      <c r="D47" s="18">
        <f t="shared" ref="D47:AK47" si="74">SUM(D48)</f>
        <v>33584998</v>
      </c>
      <c r="E47" s="18">
        <f t="shared" si="74"/>
        <v>31383288</v>
      </c>
      <c r="F47" s="18">
        <f t="shared" si="74"/>
        <v>31383288</v>
      </c>
      <c r="G47" s="18">
        <f t="shared" si="74"/>
        <v>25380271</v>
      </c>
      <c r="H47" s="18">
        <f t="shared" si="74"/>
        <v>3349246</v>
      </c>
      <c r="I47" s="18">
        <f t="shared" si="74"/>
        <v>992796</v>
      </c>
      <c r="J47" s="18">
        <f t="shared" si="74"/>
        <v>0</v>
      </c>
      <c r="K47" s="18">
        <f t="shared" si="74"/>
        <v>25150</v>
      </c>
      <c r="L47" s="18">
        <f t="shared" si="74"/>
        <v>0</v>
      </c>
      <c r="M47" s="18">
        <f t="shared" si="74"/>
        <v>0</v>
      </c>
      <c r="N47" s="18">
        <f t="shared" si="74"/>
        <v>611106</v>
      </c>
      <c r="O47" s="18">
        <f t="shared" si="74"/>
        <v>356540</v>
      </c>
      <c r="P47" s="18">
        <f t="shared" si="74"/>
        <v>0</v>
      </c>
      <c r="Q47" s="18">
        <f t="shared" si="74"/>
        <v>0</v>
      </c>
      <c r="R47" s="18">
        <f t="shared" si="74"/>
        <v>0</v>
      </c>
      <c r="S47" s="18">
        <f t="shared" si="74"/>
        <v>0</v>
      </c>
      <c r="T47" s="18">
        <f t="shared" si="74"/>
        <v>345578</v>
      </c>
      <c r="U47" s="18">
        <f t="shared" si="74"/>
        <v>364460</v>
      </c>
      <c r="V47" s="18">
        <f t="shared" si="74"/>
        <v>117308</v>
      </c>
      <c r="W47" s="18">
        <f t="shared" si="74"/>
        <v>75218</v>
      </c>
      <c r="X47" s="18">
        <f t="shared" si="74"/>
        <v>108091</v>
      </c>
      <c r="Y47" s="18">
        <f t="shared" si="74"/>
        <v>25529</v>
      </c>
      <c r="Z47" s="18">
        <f t="shared" si="74"/>
        <v>12782</v>
      </c>
      <c r="AA47" s="18">
        <f t="shared" si="74"/>
        <v>0</v>
      </c>
      <c r="AB47" s="18">
        <f t="shared" si="74"/>
        <v>0</v>
      </c>
      <c r="AC47" s="18">
        <f t="shared" si="74"/>
        <v>25532</v>
      </c>
      <c r="AD47" s="18">
        <f t="shared" si="74"/>
        <v>0</v>
      </c>
      <c r="AE47" s="18">
        <f t="shared" si="74"/>
        <v>950937</v>
      </c>
      <c r="AF47" s="18">
        <f t="shared" si="74"/>
        <v>0</v>
      </c>
      <c r="AG47" s="18">
        <f t="shared" si="74"/>
        <v>0</v>
      </c>
      <c r="AH47" s="18">
        <f t="shared" si="74"/>
        <v>9520</v>
      </c>
      <c r="AI47" s="18">
        <f t="shared" si="74"/>
        <v>60707</v>
      </c>
      <c r="AJ47" s="18">
        <f t="shared" si="74"/>
        <v>0</v>
      </c>
      <c r="AK47" s="18">
        <f t="shared" si="74"/>
        <v>2983</v>
      </c>
      <c r="AL47" s="18">
        <f t="shared" ref="AL47:DA47" si="75">SUM(AL48)</f>
        <v>0</v>
      </c>
      <c r="AM47" s="18">
        <f t="shared" si="75"/>
        <v>2749</v>
      </c>
      <c r="AN47" s="18">
        <f t="shared" si="75"/>
        <v>71930</v>
      </c>
      <c r="AO47" s="18">
        <f t="shared" si="75"/>
        <v>5238</v>
      </c>
      <c r="AP47" s="18">
        <f t="shared" si="75"/>
        <v>0</v>
      </c>
      <c r="AQ47" s="18"/>
      <c r="AR47" s="18">
        <f t="shared" si="75"/>
        <v>0</v>
      </c>
      <c r="AS47" s="18">
        <f t="shared" si="75"/>
        <v>599766</v>
      </c>
      <c r="AT47" s="18">
        <f t="shared" si="75"/>
        <v>0</v>
      </c>
      <c r="AU47" s="18"/>
      <c r="AV47" s="18"/>
      <c r="AW47" s="18">
        <f t="shared" si="75"/>
        <v>0</v>
      </c>
      <c r="AX47" s="18">
        <f t="shared" si="75"/>
        <v>0</v>
      </c>
      <c r="AY47" s="18">
        <f t="shared" si="75"/>
        <v>3112</v>
      </c>
      <c r="AZ47" s="18"/>
      <c r="BA47" s="18">
        <f t="shared" si="75"/>
        <v>194932</v>
      </c>
      <c r="BB47" s="18">
        <f t="shared" si="75"/>
        <v>0</v>
      </c>
      <c r="BC47" s="18">
        <f t="shared" si="75"/>
        <v>0</v>
      </c>
      <c r="BD47" s="18">
        <f t="shared" si="75"/>
        <v>0</v>
      </c>
      <c r="BE47" s="18">
        <f t="shared" si="75"/>
        <v>0</v>
      </c>
      <c r="BF47" s="18">
        <f t="shared" si="75"/>
        <v>0</v>
      </c>
      <c r="BG47" s="18">
        <f t="shared" si="75"/>
        <v>0</v>
      </c>
      <c r="BH47" s="18">
        <f t="shared" si="75"/>
        <v>0</v>
      </c>
      <c r="BI47" s="18">
        <f t="shared" si="75"/>
        <v>0</v>
      </c>
      <c r="BJ47" s="18">
        <f t="shared" si="75"/>
        <v>0</v>
      </c>
      <c r="BK47" s="18">
        <f t="shared" si="75"/>
        <v>0</v>
      </c>
      <c r="BL47" s="18">
        <f t="shared" si="75"/>
        <v>0</v>
      </c>
      <c r="BM47" s="18">
        <f t="shared" si="75"/>
        <v>0</v>
      </c>
      <c r="BN47" s="18">
        <f t="shared" si="75"/>
        <v>0</v>
      </c>
      <c r="BO47" s="18">
        <f t="shared" ref="AL47:DA49" si="76">SUM(BO48)</f>
        <v>0</v>
      </c>
      <c r="BP47" s="18">
        <f t="shared" si="75"/>
        <v>0</v>
      </c>
      <c r="BQ47" s="18">
        <f t="shared" si="75"/>
        <v>0</v>
      </c>
      <c r="BR47" s="18">
        <f t="shared" si="75"/>
        <v>0</v>
      </c>
      <c r="BS47" s="18">
        <f t="shared" si="75"/>
        <v>0</v>
      </c>
      <c r="BT47" s="18">
        <f t="shared" si="75"/>
        <v>0</v>
      </c>
      <c r="BU47" s="18">
        <f t="shared" si="75"/>
        <v>0</v>
      </c>
      <c r="BV47" s="18">
        <f t="shared" si="75"/>
        <v>0</v>
      </c>
      <c r="BW47" s="18">
        <f t="shared" si="75"/>
        <v>0</v>
      </c>
      <c r="BX47" s="18">
        <f t="shared" si="75"/>
        <v>0</v>
      </c>
      <c r="BY47" s="18">
        <f t="shared" si="75"/>
        <v>0</v>
      </c>
      <c r="BZ47" s="18">
        <f t="shared" si="75"/>
        <v>0</v>
      </c>
      <c r="CA47" s="18">
        <f t="shared" si="75"/>
        <v>2201710</v>
      </c>
      <c r="CB47" s="18">
        <f t="shared" si="75"/>
        <v>2201710</v>
      </c>
      <c r="CC47" s="18">
        <f t="shared" si="75"/>
        <v>869593</v>
      </c>
      <c r="CD47" s="18">
        <f t="shared" si="75"/>
        <v>0</v>
      </c>
      <c r="CE47" s="18">
        <f t="shared" si="75"/>
        <v>869593</v>
      </c>
      <c r="CF47" s="18">
        <f t="shared" si="75"/>
        <v>0</v>
      </c>
      <c r="CG47" s="18">
        <f t="shared" si="75"/>
        <v>0</v>
      </c>
      <c r="CH47" s="18">
        <f t="shared" si="75"/>
        <v>0</v>
      </c>
      <c r="CI47" s="18">
        <f t="shared" si="75"/>
        <v>0</v>
      </c>
      <c r="CJ47" s="18">
        <f t="shared" si="75"/>
        <v>0</v>
      </c>
      <c r="CK47" s="18">
        <f t="shared" si="75"/>
        <v>0</v>
      </c>
      <c r="CL47" s="18">
        <f t="shared" si="75"/>
        <v>1332117</v>
      </c>
      <c r="CM47" s="18">
        <f t="shared" si="75"/>
        <v>0</v>
      </c>
      <c r="CN47" s="18">
        <f t="shared" si="75"/>
        <v>0</v>
      </c>
      <c r="CO47" s="18">
        <f t="shared" si="75"/>
        <v>1332117</v>
      </c>
      <c r="CP47" s="18"/>
      <c r="CQ47" s="18"/>
      <c r="CR47" s="18"/>
      <c r="CS47" s="18"/>
      <c r="CT47" s="18">
        <f t="shared" si="75"/>
        <v>0</v>
      </c>
      <c r="CU47" s="18"/>
      <c r="CV47" s="18"/>
      <c r="CW47" s="18"/>
      <c r="CX47" s="18">
        <f t="shared" si="75"/>
        <v>0</v>
      </c>
      <c r="CY47" s="18">
        <f t="shared" si="75"/>
        <v>0</v>
      </c>
      <c r="CZ47" s="18">
        <f t="shared" si="75"/>
        <v>0</v>
      </c>
      <c r="DA47" s="46">
        <f t="shared" si="75"/>
        <v>0</v>
      </c>
      <c r="DB47" s="85"/>
    </row>
    <row r="48" spans="1:106" ht="31.5" x14ac:dyDescent="0.25">
      <c r="A48" s="72" t="s">
        <v>1</v>
      </c>
      <c r="B48" s="21" t="s">
        <v>129</v>
      </c>
      <c r="C48" s="22" t="s">
        <v>542</v>
      </c>
      <c r="D48" s="18">
        <f>SUM(E48+CA48+CX48)</f>
        <v>33584998</v>
      </c>
      <c r="E48" s="19">
        <f>SUM(F48+BB48)</f>
        <v>31383288</v>
      </c>
      <c r="F48" s="19">
        <f>SUM(G48+H48+I48+P48+S48+T48+U48+AE48)</f>
        <v>31383288</v>
      </c>
      <c r="G48" s="23">
        <f>26353599-973328</f>
        <v>25380271</v>
      </c>
      <c r="H48" s="23">
        <f>3592578-243332</f>
        <v>3349246</v>
      </c>
      <c r="I48" s="19">
        <f t="shared" si="7"/>
        <v>992796</v>
      </c>
      <c r="J48" s="23">
        <v>0</v>
      </c>
      <c r="K48" s="23">
        <f>26376-1226</f>
        <v>25150</v>
      </c>
      <c r="L48" s="23">
        <v>0</v>
      </c>
      <c r="M48" s="23">
        <v>0</v>
      </c>
      <c r="N48" s="23">
        <v>611106</v>
      </c>
      <c r="O48" s="23">
        <f>357840-1300</f>
        <v>356540</v>
      </c>
      <c r="P48" s="19">
        <f t="shared" si="8"/>
        <v>0</v>
      </c>
      <c r="Q48" s="23">
        <v>0</v>
      </c>
      <c r="R48" s="23">
        <v>0</v>
      </c>
      <c r="S48" s="23">
        <v>0</v>
      </c>
      <c r="T48" s="23">
        <v>345578</v>
      </c>
      <c r="U48" s="19">
        <f>SUM(V48:AC48)</f>
        <v>364460</v>
      </c>
      <c r="V48" s="23">
        <v>117308</v>
      </c>
      <c r="W48" s="23">
        <f>65269+9949</f>
        <v>75218</v>
      </c>
      <c r="X48" s="23">
        <v>108091</v>
      </c>
      <c r="Y48" s="23">
        <f>25007+522</f>
        <v>25529</v>
      </c>
      <c r="Z48" s="23">
        <f>13304-522</f>
        <v>12782</v>
      </c>
      <c r="AA48" s="23">
        <v>0</v>
      </c>
      <c r="AB48" s="23">
        <v>0</v>
      </c>
      <c r="AC48" s="23">
        <v>25532</v>
      </c>
      <c r="AD48" s="19">
        <v>0</v>
      </c>
      <c r="AE48" s="19">
        <f>SUM(AF48:BA48)</f>
        <v>950937</v>
      </c>
      <c r="AF48" s="19">
        <v>0</v>
      </c>
      <c r="AG48" s="19">
        <v>0</v>
      </c>
      <c r="AH48" s="23">
        <v>9520</v>
      </c>
      <c r="AI48" s="23">
        <v>60707</v>
      </c>
      <c r="AJ48" s="23">
        <v>0</v>
      </c>
      <c r="AK48" s="23">
        <f>5983-3000</f>
        <v>2983</v>
      </c>
      <c r="AL48" s="23">
        <v>0</v>
      </c>
      <c r="AM48" s="23">
        <v>2749</v>
      </c>
      <c r="AN48" s="23">
        <v>71930</v>
      </c>
      <c r="AO48" s="23">
        <v>5238</v>
      </c>
      <c r="AP48" s="23">
        <v>0</v>
      </c>
      <c r="AQ48" s="23"/>
      <c r="AR48" s="23">
        <v>0</v>
      </c>
      <c r="AS48" s="23">
        <v>599766</v>
      </c>
      <c r="AT48" s="23">
        <v>0</v>
      </c>
      <c r="AU48" s="23">
        <v>0</v>
      </c>
      <c r="AV48" s="23">
        <v>0</v>
      </c>
      <c r="AW48" s="23">
        <v>0</v>
      </c>
      <c r="AX48" s="23">
        <v>0</v>
      </c>
      <c r="AY48" s="23">
        <f>7535-4423</f>
        <v>3112</v>
      </c>
      <c r="AZ48" s="23">
        <v>0</v>
      </c>
      <c r="BA48" s="23">
        <v>194932</v>
      </c>
      <c r="BB48" s="19">
        <f>SUM(BC48+BG48+BJ48+BL48+BO48)</f>
        <v>0</v>
      </c>
      <c r="BC48" s="19">
        <f>SUM(BD48:BF48)</f>
        <v>0</v>
      </c>
      <c r="BD48" s="19">
        <v>0</v>
      </c>
      <c r="BE48" s="19">
        <v>0</v>
      </c>
      <c r="BF48" s="19">
        <v>0</v>
      </c>
      <c r="BG48" s="19">
        <f>SUM(BI48:BI48)</f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f t="shared" si="9"/>
        <v>0</v>
      </c>
      <c r="BM48" s="19">
        <v>0</v>
      </c>
      <c r="BN48" s="19">
        <v>0</v>
      </c>
      <c r="BO48" s="19">
        <f>SUM(BP48:BZ48)</f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0</v>
      </c>
      <c r="BX48" s="19">
        <v>0</v>
      </c>
      <c r="BY48" s="19">
        <v>0</v>
      </c>
      <c r="BZ48" s="19">
        <v>0</v>
      </c>
      <c r="CA48" s="19">
        <f>SUM(CB48+CT48)</f>
        <v>2201710</v>
      </c>
      <c r="CB48" s="19">
        <f>SUM(CC48+CF48+CL48)</f>
        <v>2201710</v>
      </c>
      <c r="CC48" s="19">
        <f t="shared" si="10"/>
        <v>869593</v>
      </c>
      <c r="CD48" s="19">
        <v>0</v>
      </c>
      <c r="CE48" s="23">
        <v>869593</v>
      </c>
      <c r="CF48" s="19">
        <f>SUM(CG48:CK48)</f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v>0</v>
      </c>
      <c r="CL48" s="19">
        <f>SUM(CM48:CQ48)</f>
        <v>1332117</v>
      </c>
      <c r="CM48" s="19"/>
      <c r="CN48" s="19"/>
      <c r="CO48" s="23">
        <v>1332117</v>
      </c>
      <c r="CP48" s="19"/>
      <c r="CQ48" s="19"/>
      <c r="CR48" s="19"/>
      <c r="CS48" s="19"/>
      <c r="CT48" s="19">
        <v>0</v>
      </c>
      <c r="CU48" s="19"/>
      <c r="CV48" s="19"/>
      <c r="CW48" s="19"/>
      <c r="CX48" s="19">
        <f t="shared" si="11"/>
        <v>0</v>
      </c>
      <c r="CY48" s="19">
        <f t="shared" si="12"/>
        <v>0</v>
      </c>
      <c r="CZ48" s="19">
        <v>0</v>
      </c>
      <c r="DA48" s="20">
        <v>0</v>
      </c>
    </row>
    <row r="49" spans="1:106" s="86" customFormat="1" ht="15.75" x14ac:dyDescent="0.25">
      <c r="A49" s="71" t="s">
        <v>130</v>
      </c>
      <c r="B49" s="16" t="s">
        <v>1</v>
      </c>
      <c r="C49" s="17" t="s">
        <v>131</v>
      </c>
      <c r="D49" s="18">
        <f t="shared" ref="D49:AK49" si="77">SUM(D50)</f>
        <v>6438764</v>
      </c>
      <c r="E49" s="18">
        <f t="shared" si="77"/>
        <v>6398764</v>
      </c>
      <c r="F49" s="18">
        <f t="shared" si="77"/>
        <v>6371159</v>
      </c>
      <c r="G49" s="18">
        <f t="shared" si="77"/>
        <v>4838651</v>
      </c>
      <c r="H49" s="18">
        <f t="shared" si="77"/>
        <v>542012</v>
      </c>
      <c r="I49" s="18">
        <f t="shared" si="77"/>
        <v>520822</v>
      </c>
      <c r="J49" s="18">
        <f t="shared" si="77"/>
        <v>0</v>
      </c>
      <c r="K49" s="18">
        <f t="shared" si="77"/>
        <v>0</v>
      </c>
      <c r="L49" s="18">
        <f t="shared" si="77"/>
        <v>0</v>
      </c>
      <c r="M49" s="18">
        <f t="shared" si="77"/>
        <v>0</v>
      </c>
      <c r="N49" s="18">
        <f t="shared" si="77"/>
        <v>445653</v>
      </c>
      <c r="O49" s="18">
        <f t="shared" si="77"/>
        <v>75169</v>
      </c>
      <c r="P49" s="18">
        <f t="shared" si="77"/>
        <v>0</v>
      </c>
      <c r="Q49" s="18">
        <f t="shared" si="77"/>
        <v>0</v>
      </c>
      <c r="R49" s="18">
        <f t="shared" si="77"/>
        <v>0</v>
      </c>
      <c r="S49" s="18">
        <f t="shared" si="77"/>
        <v>0</v>
      </c>
      <c r="T49" s="18">
        <f t="shared" si="77"/>
        <v>110000</v>
      </c>
      <c r="U49" s="18">
        <f t="shared" si="77"/>
        <v>69602</v>
      </c>
      <c r="V49" s="18">
        <f t="shared" si="77"/>
        <v>30518</v>
      </c>
      <c r="W49" s="18">
        <f t="shared" si="77"/>
        <v>0</v>
      </c>
      <c r="X49" s="18">
        <f t="shared" si="77"/>
        <v>27472</v>
      </c>
      <c r="Y49" s="18">
        <f t="shared" si="77"/>
        <v>3305</v>
      </c>
      <c r="Z49" s="18">
        <f t="shared" si="77"/>
        <v>0</v>
      </c>
      <c r="AA49" s="18">
        <f t="shared" si="77"/>
        <v>0</v>
      </c>
      <c r="AB49" s="18">
        <f t="shared" si="77"/>
        <v>0</v>
      </c>
      <c r="AC49" s="18">
        <f t="shared" si="77"/>
        <v>8307</v>
      </c>
      <c r="AD49" s="18">
        <f t="shared" si="77"/>
        <v>0</v>
      </c>
      <c r="AE49" s="18">
        <f t="shared" si="77"/>
        <v>290072</v>
      </c>
      <c r="AF49" s="18">
        <f t="shared" si="77"/>
        <v>0</v>
      </c>
      <c r="AG49" s="18">
        <f t="shared" si="77"/>
        <v>0</v>
      </c>
      <c r="AH49" s="18">
        <f t="shared" si="77"/>
        <v>15000</v>
      </c>
      <c r="AI49" s="18">
        <f t="shared" si="77"/>
        <v>35000</v>
      </c>
      <c r="AJ49" s="18">
        <f t="shared" si="77"/>
        <v>0</v>
      </c>
      <c r="AK49" s="18">
        <f t="shared" si="77"/>
        <v>5000</v>
      </c>
      <c r="AL49" s="18">
        <f t="shared" si="76"/>
        <v>0</v>
      </c>
      <c r="AM49" s="18">
        <f t="shared" si="76"/>
        <v>600</v>
      </c>
      <c r="AN49" s="18">
        <f t="shared" si="76"/>
        <v>0</v>
      </c>
      <c r="AO49" s="18">
        <f t="shared" si="76"/>
        <v>33756</v>
      </c>
      <c r="AP49" s="18">
        <f t="shared" si="76"/>
        <v>0</v>
      </c>
      <c r="AQ49" s="18"/>
      <c r="AR49" s="18">
        <f t="shared" si="76"/>
        <v>0</v>
      </c>
      <c r="AS49" s="18">
        <f t="shared" si="76"/>
        <v>32000</v>
      </c>
      <c r="AT49" s="18">
        <f t="shared" si="76"/>
        <v>34116</v>
      </c>
      <c r="AU49" s="18"/>
      <c r="AV49" s="18"/>
      <c r="AW49" s="18">
        <f t="shared" si="76"/>
        <v>0</v>
      </c>
      <c r="AX49" s="18">
        <f t="shared" si="76"/>
        <v>0</v>
      </c>
      <c r="AY49" s="18">
        <f t="shared" si="76"/>
        <v>54600</v>
      </c>
      <c r="AZ49" s="18"/>
      <c r="BA49" s="18">
        <f t="shared" si="76"/>
        <v>80000</v>
      </c>
      <c r="BB49" s="18">
        <f t="shared" si="76"/>
        <v>27605</v>
      </c>
      <c r="BC49" s="18">
        <f t="shared" si="76"/>
        <v>0</v>
      </c>
      <c r="BD49" s="18">
        <f t="shared" si="76"/>
        <v>0</v>
      </c>
      <c r="BE49" s="18">
        <f t="shared" si="76"/>
        <v>0</v>
      </c>
      <c r="BF49" s="18">
        <f t="shared" si="76"/>
        <v>0</v>
      </c>
      <c r="BG49" s="18">
        <f t="shared" si="76"/>
        <v>0</v>
      </c>
      <c r="BH49" s="18">
        <f t="shared" si="76"/>
        <v>0</v>
      </c>
      <c r="BI49" s="18">
        <f t="shared" si="76"/>
        <v>0</v>
      </c>
      <c r="BJ49" s="18">
        <f t="shared" si="76"/>
        <v>0</v>
      </c>
      <c r="BK49" s="18">
        <f t="shared" si="76"/>
        <v>0</v>
      </c>
      <c r="BL49" s="18">
        <f t="shared" si="76"/>
        <v>0</v>
      </c>
      <c r="BM49" s="18">
        <f t="shared" si="76"/>
        <v>0</v>
      </c>
      <c r="BN49" s="18">
        <f t="shared" si="76"/>
        <v>0</v>
      </c>
      <c r="BO49" s="18">
        <f t="shared" si="76"/>
        <v>27605</v>
      </c>
      <c r="BP49" s="18">
        <f t="shared" si="76"/>
        <v>0</v>
      </c>
      <c r="BQ49" s="18">
        <f t="shared" si="76"/>
        <v>0</v>
      </c>
      <c r="BR49" s="18">
        <f t="shared" si="76"/>
        <v>0</v>
      </c>
      <c r="BS49" s="18">
        <f t="shared" si="76"/>
        <v>0</v>
      </c>
      <c r="BT49" s="18">
        <f t="shared" si="76"/>
        <v>0</v>
      </c>
      <c r="BU49" s="18">
        <f t="shared" si="76"/>
        <v>0</v>
      </c>
      <c r="BV49" s="18">
        <f t="shared" si="76"/>
        <v>0</v>
      </c>
      <c r="BW49" s="18">
        <f t="shared" si="76"/>
        <v>0</v>
      </c>
      <c r="BX49" s="18">
        <f t="shared" si="76"/>
        <v>0</v>
      </c>
      <c r="BY49" s="18">
        <f t="shared" si="76"/>
        <v>27605</v>
      </c>
      <c r="BZ49" s="18">
        <f t="shared" si="76"/>
        <v>0</v>
      </c>
      <c r="CA49" s="18">
        <f t="shared" si="76"/>
        <v>40000</v>
      </c>
      <c r="CB49" s="18">
        <f t="shared" si="76"/>
        <v>40000</v>
      </c>
      <c r="CC49" s="18">
        <f t="shared" si="76"/>
        <v>40000</v>
      </c>
      <c r="CD49" s="18">
        <f t="shared" si="76"/>
        <v>0</v>
      </c>
      <c r="CE49" s="18">
        <f t="shared" si="76"/>
        <v>40000</v>
      </c>
      <c r="CF49" s="18">
        <f t="shared" si="76"/>
        <v>0</v>
      </c>
      <c r="CG49" s="18">
        <f t="shared" si="76"/>
        <v>0</v>
      </c>
      <c r="CH49" s="18">
        <f t="shared" si="76"/>
        <v>0</v>
      </c>
      <c r="CI49" s="18">
        <f t="shared" si="76"/>
        <v>0</v>
      </c>
      <c r="CJ49" s="18">
        <f t="shared" si="76"/>
        <v>0</v>
      </c>
      <c r="CK49" s="18">
        <f t="shared" si="76"/>
        <v>0</v>
      </c>
      <c r="CL49" s="18">
        <f t="shared" si="76"/>
        <v>0</v>
      </c>
      <c r="CM49" s="18">
        <f t="shared" si="76"/>
        <v>0</v>
      </c>
      <c r="CN49" s="18">
        <f t="shared" si="76"/>
        <v>0</v>
      </c>
      <c r="CO49" s="18">
        <f t="shared" si="76"/>
        <v>0</v>
      </c>
      <c r="CP49" s="18"/>
      <c r="CQ49" s="18"/>
      <c r="CR49" s="18"/>
      <c r="CS49" s="18"/>
      <c r="CT49" s="18">
        <f t="shared" si="76"/>
        <v>0</v>
      </c>
      <c r="CU49" s="18"/>
      <c r="CV49" s="18"/>
      <c r="CW49" s="18"/>
      <c r="CX49" s="18">
        <f t="shared" si="76"/>
        <v>0</v>
      </c>
      <c r="CY49" s="18">
        <f t="shared" si="76"/>
        <v>0</v>
      </c>
      <c r="CZ49" s="18">
        <f t="shared" si="76"/>
        <v>0</v>
      </c>
      <c r="DA49" s="46">
        <f t="shared" si="76"/>
        <v>0</v>
      </c>
      <c r="DB49" s="85"/>
    </row>
    <row r="50" spans="1:106" ht="15.75" x14ac:dyDescent="0.25">
      <c r="A50" s="72" t="s">
        <v>1</v>
      </c>
      <c r="B50" s="21" t="s">
        <v>132</v>
      </c>
      <c r="C50" s="22" t="s">
        <v>133</v>
      </c>
      <c r="D50" s="18">
        <f>SUM(E50+CA50+CX50)</f>
        <v>6438764</v>
      </c>
      <c r="E50" s="19">
        <f>SUM(F50+BB50)</f>
        <v>6398764</v>
      </c>
      <c r="F50" s="19">
        <f>SUM(G50+H50+I50+P50+S50+T50+U50+AE50)</f>
        <v>6371159</v>
      </c>
      <c r="G50" s="23">
        <f>5534451-695800</f>
        <v>4838651</v>
      </c>
      <c r="H50" s="23">
        <v>542012</v>
      </c>
      <c r="I50" s="19">
        <f t="shared" si="7"/>
        <v>520822</v>
      </c>
      <c r="J50" s="23">
        <v>0</v>
      </c>
      <c r="K50" s="19">
        <v>0</v>
      </c>
      <c r="L50" s="19">
        <v>0</v>
      </c>
      <c r="M50" s="19">
        <v>0</v>
      </c>
      <c r="N50" s="23">
        <v>445653</v>
      </c>
      <c r="O50" s="23">
        <v>75169</v>
      </c>
      <c r="P50" s="19">
        <f t="shared" si="8"/>
        <v>0</v>
      </c>
      <c r="Q50" s="19">
        <v>0</v>
      </c>
      <c r="R50" s="19">
        <v>0</v>
      </c>
      <c r="S50" s="19">
        <v>0</v>
      </c>
      <c r="T50" s="23">
        <v>110000</v>
      </c>
      <c r="U50" s="19">
        <f>SUM(V50:AC50)</f>
        <v>69602</v>
      </c>
      <c r="V50" s="23">
        <v>30518</v>
      </c>
      <c r="W50" s="23">
        <v>0</v>
      </c>
      <c r="X50" s="23">
        <f>28721-1249</f>
        <v>27472</v>
      </c>
      <c r="Y50" s="23">
        <f>3079+226</f>
        <v>3305</v>
      </c>
      <c r="Z50" s="23">
        <v>0</v>
      </c>
      <c r="AA50" s="23">
        <v>0</v>
      </c>
      <c r="AB50" s="23">
        <v>0</v>
      </c>
      <c r="AC50" s="23">
        <f>7284+1023</f>
        <v>8307</v>
      </c>
      <c r="AD50" s="19">
        <v>0</v>
      </c>
      <c r="AE50" s="19">
        <f>SUM(AF50:BA50)</f>
        <v>290072</v>
      </c>
      <c r="AF50" s="19">
        <v>0</v>
      </c>
      <c r="AG50" s="19">
        <v>0</v>
      </c>
      <c r="AH50" s="23">
        <v>15000</v>
      </c>
      <c r="AI50" s="23">
        <v>35000</v>
      </c>
      <c r="AJ50" s="23">
        <v>0</v>
      </c>
      <c r="AK50" s="23">
        <v>5000</v>
      </c>
      <c r="AL50" s="23">
        <v>0</v>
      </c>
      <c r="AM50" s="23">
        <v>600</v>
      </c>
      <c r="AN50" s="23">
        <v>0</v>
      </c>
      <c r="AO50" s="23">
        <v>33756</v>
      </c>
      <c r="AP50" s="23">
        <v>0</v>
      </c>
      <c r="AQ50" s="23"/>
      <c r="AR50" s="23">
        <v>0</v>
      </c>
      <c r="AS50" s="23">
        <v>32000</v>
      </c>
      <c r="AT50" s="23">
        <v>34116</v>
      </c>
      <c r="AU50" s="23">
        <v>0</v>
      </c>
      <c r="AV50" s="23">
        <v>0</v>
      </c>
      <c r="AW50" s="23">
        <v>0</v>
      </c>
      <c r="AX50" s="23">
        <v>0</v>
      </c>
      <c r="AY50" s="23">
        <v>54600</v>
      </c>
      <c r="AZ50" s="23">
        <v>0</v>
      </c>
      <c r="BA50" s="23">
        <v>80000</v>
      </c>
      <c r="BB50" s="19">
        <f>SUM(BC50+BG50+BJ50+BL50+BO50)</f>
        <v>27605</v>
      </c>
      <c r="BC50" s="19">
        <f>SUM(BD50:BF50)</f>
        <v>0</v>
      </c>
      <c r="BD50" s="19">
        <v>0</v>
      </c>
      <c r="BE50" s="19">
        <v>0</v>
      </c>
      <c r="BF50" s="19">
        <v>0</v>
      </c>
      <c r="BG50" s="19">
        <f>SUM(BI50:BI50)</f>
        <v>0</v>
      </c>
      <c r="BH50" s="19">
        <v>0</v>
      </c>
      <c r="BI50" s="19">
        <v>0</v>
      </c>
      <c r="BJ50" s="19">
        <v>0</v>
      </c>
      <c r="BK50" s="19">
        <v>0</v>
      </c>
      <c r="BL50" s="19">
        <f t="shared" si="9"/>
        <v>0</v>
      </c>
      <c r="BM50" s="19">
        <v>0</v>
      </c>
      <c r="BN50" s="19">
        <v>0</v>
      </c>
      <c r="BO50" s="19">
        <f>SUM(BP50:BZ50)</f>
        <v>27605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0</v>
      </c>
      <c r="BY50" s="19">
        <v>27605</v>
      </c>
      <c r="BZ50" s="19">
        <v>0</v>
      </c>
      <c r="CA50" s="19">
        <f>SUM(CB50+CT50)</f>
        <v>40000</v>
      </c>
      <c r="CB50" s="19">
        <f>SUM(CC50+CF50+CL50)</f>
        <v>40000</v>
      </c>
      <c r="CC50" s="19">
        <f t="shared" si="10"/>
        <v>40000</v>
      </c>
      <c r="CD50" s="19">
        <v>0</v>
      </c>
      <c r="CE50" s="23">
        <v>40000</v>
      </c>
      <c r="CF50" s="19">
        <f>SUM(CG50:CK50)</f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f>SUM(CM50:CQ50)</f>
        <v>0</v>
      </c>
      <c r="CM50" s="19">
        <v>0</v>
      </c>
      <c r="CN50" s="19">
        <v>0</v>
      </c>
      <c r="CO50" s="19">
        <v>0</v>
      </c>
      <c r="CP50" s="19"/>
      <c r="CQ50" s="19"/>
      <c r="CR50" s="19"/>
      <c r="CS50" s="19"/>
      <c r="CT50" s="19">
        <v>0</v>
      </c>
      <c r="CU50" s="19"/>
      <c r="CV50" s="19"/>
      <c r="CW50" s="19"/>
      <c r="CX50" s="19">
        <f t="shared" si="11"/>
        <v>0</v>
      </c>
      <c r="CY50" s="19">
        <f t="shared" si="12"/>
        <v>0</v>
      </c>
      <c r="CZ50" s="19">
        <v>0</v>
      </c>
      <c r="DA50" s="20">
        <v>0</v>
      </c>
    </row>
    <row r="51" spans="1:106" s="86" customFormat="1" ht="15.75" x14ac:dyDescent="0.25">
      <c r="A51" s="71" t="s">
        <v>134</v>
      </c>
      <c r="B51" s="16" t="s">
        <v>1</v>
      </c>
      <c r="C51" s="17" t="s">
        <v>543</v>
      </c>
      <c r="D51" s="18">
        <f t="shared" ref="D51:AK51" si="78">SUM(D52)</f>
        <v>758198</v>
      </c>
      <c r="E51" s="18">
        <f t="shared" si="78"/>
        <v>758198</v>
      </c>
      <c r="F51" s="18">
        <f t="shared" si="78"/>
        <v>758198</v>
      </c>
      <c r="G51" s="18">
        <f t="shared" si="78"/>
        <v>0</v>
      </c>
      <c r="H51" s="18">
        <f t="shared" si="78"/>
        <v>0</v>
      </c>
      <c r="I51" s="18">
        <f t="shared" si="78"/>
        <v>0</v>
      </c>
      <c r="J51" s="18">
        <f t="shared" si="78"/>
        <v>0</v>
      </c>
      <c r="K51" s="18">
        <f t="shared" si="78"/>
        <v>0</v>
      </c>
      <c r="L51" s="18">
        <f t="shared" si="78"/>
        <v>0</v>
      </c>
      <c r="M51" s="18">
        <f t="shared" si="78"/>
        <v>0</v>
      </c>
      <c r="N51" s="18">
        <f t="shared" si="78"/>
        <v>0</v>
      </c>
      <c r="O51" s="18">
        <f t="shared" si="78"/>
        <v>0</v>
      </c>
      <c r="P51" s="18">
        <f t="shared" si="78"/>
        <v>0</v>
      </c>
      <c r="Q51" s="18">
        <f t="shared" si="78"/>
        <v>0</v>
      </c>
      <c r="R51" s="18">
        <f t="shared" si="78"/>
        <v>0</v>
      </c>
      <c r="S51" s="18">
        <f t="shared" si="78"/>
        <v>0</v>
      </c>
      <c r="T51" s="18">
        <f t="shared" si="78"/>
        <v>0</v>
      </c>
      <c r="U51" s="18">
        <f t="shared" si="78"/>
        <v>0</v>
      </c>
      <c r="V51" s="18">
        <f t="shared" si="78"/>
        <v>0</v>
      </c>
      <c r="W51" s="18">
        <f t="shared" si="78"/>
        <v>0</v>
      </c>
      <c r="X51" s="18">
        <f t="shared" si="78"/>
        <v>0</v>
      </c>
      <c r="Y51" s="18">
        <f t="shared" si="78"/>
        <v>0</v>
      </c>
      <c r="Z51" s="18">
        <f t="shared" si="78"/>
        <v>0</v>
      </c>
      <c r="AA51" s="18">
        <f t="shared" si="78"/>
        <v>0</v>
      </c>
      <c r="AB51" s="18">
        <f t="shared" si="78"/>
        <v>0</v>
      </c>
      <c r="AC51" s="18">
        <f t="shared" si="78"/>
        <v>0</v>
      </c>
      <c r="AD51" s="18">
        <f t="shared" si="78"/>
        <v>0</v>
      </c>
      <c r="AE51" s="18">
        <f t="shared" si="78"/>
        <v>758198</v>
      </c>
      <c r="AF51" s="18">
        <f t="shared" si="78"/>
        <v>0</v>
      </c>
      <c r="AG51" s="18">
        <f t="shared" si="78"/>
        <v>0</v>
      </c>
      <c r="AH51" s="18">
        <f t="shared" si="78"/>
        <v>0</v>
      </c>
      <c r="AI51" s="18">
        <f t="shared" si="78"/>
        <v>0</v>
      </c>
      <c r="AJ51" s="18">
        <f t="shared" si="78"/>
        <v>0</v>
      </c>
      <c r="AK51" s="18">
        <f t="shared" si="78"/>
        <v>0</v>
      </c>
      <c r="AL51" s="18">
        <f t="shared" ref="AL51:DA51" si="79">SUM(AL52)</f>
        <v>0</v>
      </c>
      <c r="AM51" s="18">
        <f t="shared" si="79"/>
        <v>0</v>
      </c>
      <c r="AN51" s="18">
        <f t="shared" si="79"/>
        <v>0</v>
      </c>
      <c r="AO51" s="18">
        <f t="shared" si="79"/>
        <v>0</v>
      </c>
      <c r="AP51" s="18">
        <f t="shared" si="79"/>
        <v>0</v>
      </c>
      <c r="AQ51" s="18"/>
      <c r="AR51" s="18">
        <f t="shared" si="79"/>
        <v>0</v>
      </c>
      <c r="AS51" s="18">
        <f t="shared" si="79"/>
        <v>0</v>
      </c>
      <c r="AT51" s="18">
        <f t="shared" si="79"/>
        <v>0</v>
      </c>
      <c r="AU51" s="18">
        <f t="shared" si="79"/>
        <v>707136</v>
      </c>
      <c r="AV51" s="18">
        <f t="shared" si="79"/>
        <v>0</v>
      </c>
      <c r="AW51" s="18">
        <f t="shared" si="79"/>
        <v>0</v>
      </c>
      <c r="AX51" s="18">
        <f t="shared" si="79"/>
        <v>0</v>
      </c>
      <c r="AY51" s="18">
        <f t="shared" si="79"/>
        <v>0</v>
      </c>
      <c r="AZ51" s="18"/>
      <c r="BA51" s="18">
        <f t="shared" si="79"/>
        <v>51062</v>
      </c>
      <c r="BB51" s="18">
        <f t="shared" si="79"/>
        <v>0</v>
      </c>
      <c r="BC51" s="18">
        <f t="shared" si="79"/>
        <v>0</v>
      </c>
      <c r="BD51" s="18">
        <f t="shared" si="79"/>
        <v>0</v>
      </c>
      <c r="BE51" s="18">
        <f t="shared" si="79"/>
        <v>0</v>
      </c>
      <c r="BF51" s="18">
        <f t="shared" si="79"/>
        <v>0</v>
      </c>
      <c r="BG51" s="18">
        <f t="shared" si="79"/>
        <v>0</v>
      </c>
      <c r="BH51" s="18">
        <f t="shared" si="79"/>
        <v>0</v>
      </c>
      <c r="BI51" s="18">
        <f t="shared" si="79"/>
        <v>0</v>
      </c>
      <c r="BJ51" s="18">
        <f t="shared" si="79"/>
        <v>0</v>
      </c>
      <c r="BK51" s="18">
        <f t="shared" si="79"/>
        <v>0</v>
      </c>
      <c r="BL51" s="18">
        <f t="shared" si="79"/>
        <v>0</v>
      </c>
      <c r="BM51" s="18">
        <f t="shared" si="79"/>
        <v>0</v>
      </c>
      <c r="BN51" s="18">
        <f t="shared" si="79"/>
        <v>0</v>
      </c>
      <c r="BO51" s="18">
        <f t="shared" si="79"/>
        <v>0</v>
      </c>
      <c r="BP51" s="18">
        <f t="shared" si="79"/>
        <v>0</v>
      </c>
      <c r="BQ51" s="18">
        <f t="shared" si="79"/>
        <v>0</v>
      </c>
      <c r="BR51" s="18">
        <f t="shared" si="79"/>
        <v>0</v>
      </c>
      <c r="BS51" s="18">
        <f t="shared" si="79"/>
        <v>0</v>
      </c>
      <c r="BT51" s="18">
        <f t="shared" si="79"/>
        <v>0</v>
      </c>
      <c r="BU51" s="18">
        <f t="shared" si="79"/>
        <v>0</v>
      </c>
      <c r="BV51" s="18">
        <f t="shared" si="79"/>
        <v>0</v>
      </c>
      <c r="BW51" s="18">
        <f t="shared" si="79"/>
        <v>0</v>
      </c>
      <c r="BX51" s="18">
        <f t="shared" si="79"/>
        <v>0</v>
      </c>
      <c r="BY51" s="18">
        <f t="shared" si="79"/>
        <v>0</v>
      </c>
      <c r="BZ51" s="18">
        <f t="shared" si="79"/>
        <v>0</v>
      </c>
      <c r="CA51" s="18">
        <f t="shared" si="79"/>
        <v>0</v>
      </c>
      <c r="CB51" s="18">
        <f t="shared" si="79"/>
        <v>0</v>
      </c>
      <c r="CC51" s="18">
        <f t="shared" si="79"/>
        <v>0</v>
      </c>
      <c r="CD51" s="18">
        <f t="shared" si="79"/>
        <v>0</v>
      </c>
      <c r="CE51" s="18">
        <f t="shared" si="79"/>
        <v>0</v>
      </c>
      <c r="CF51" s="18">
        <f t="shared" si="79"/>
        <v>0</v>
      </c>
      <c r="CG51" s="18">
        <f t="shared" si="79"/>
        <v>0</v>
      </c>
      <c r="CH51" s="18">
        <f t="shared" si="79"/>
        <v>0</v>
      </c>
      <c r="CI51" s="18">
        <f t="shared" si="79"/>
        <v>0</v>
      </c>
      <c r="CJ51" s="18">
        <f t="shared" si="79"/>
        <v>0</v>
      </c>
      <c r="CK51" s="18">
        <f t="shared" si="79"/>
        <v>0</v>
      </c>
      <c r="CL51" s="18">
        <f t="shared" si="79"/>
        <v>0</v>
      </c>
      <c r="CM51" s="18">
        <f t="shared" si="79"/>
        <v>0</v>
      </c>
      <c r="CN51" s="18">
        <f t="shared" si="79"/>
        <v>0</v>
      </c>
      <c r="CO51" s="18">
        <f t="shared" si="79"/>
        <v>0</v>
      </c>
      <c r="CP51" s="18"/>
      <c r="CQ51" s="18"/>
      <c r="CR51" s="18"/>
      <c r="CS51" s="18"/>
      <c r="CT51" s="18">
        <f t="shared" si="79"/>
        <v>0</v>
      </c>
      <c r="CU51" s="18"/>
      <c r="CV51" s="18"/>
      <c r="CW51" s="18"/>
      <c r="CX51" s="18">
        <f t="shared" si="79"/>
        <v>0</v>
      </c>
      <c r="CY51" s="18">
        <f t="shared" si="79"/>
        <v>0</v>
      </c>
      <c r="CZ51" s="18">
        <f t="shared" si="79"/>
        <v>0</v>
      </c>
      <c r="DA51" s="46">
        <f t="shared" si="79"/>
        <v>0</v>
      </c>
      <c r="DB51" s="85"/>
    </row>
    <row r="52" spans="1:106" ht="15.75" x14ac:dyDescent="0.25">
      <c r="A52" s="72" t="s">
        <v>1</v>
      </c>
      <c r="B52" s="21" t="s">
        <v>129</v>
      </c>
      <c r="C52" s="22" t="s">
        <v>135</v>
      </c>
      <c r="D52" s="18">
        <f>SUM(E52+CA52+CX52)</f>
        <v>758198</v>
      </c>
      <c r="E52" s="19">
        <f>SUM(F52+BB52)</f>
        <v>758198</v>
      </c>
      <c r="F52" s="19">
        <f>SUM(G52+H52+I52+P52+S52+T52+U52+AE52)</f>
        <v>758198</v>
      </c>
      <c r="G52" s="19">
        <v>0</v>
      </c>
      <c r="H52" s="19">
        <v>0</v>
      </c>
      <c r="I52" s="19">
        <f t="shared" si="7"/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8"/>
        <v>0</v>
      </c>
      <c r="Q52" s="19">
        <v>0</v>
      </c>
      <c r="R52" s="19">
        <v>0</v>
      </c>
      <c r="S52" s="19">
        <v>0</v>
      </c>
      <c r="T52" s="19">
        <v>0</v>
      </c>
      <c r="U52" s="19">
        <f>SUM(V52:AC52)</f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f>SUM(AF52:BA52)</f>
        <v>758198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/>
      <c r="AR52" s="19">
        <v>0</v>
      </c>
      <c r="AS52" s="19">
        <v>0</v>
      </c>
      <c r="AT52" s="19">
        <v>0</v>
      </c>
      <c r="AU52" s="19">
        <f>689268+17868</f>
        <v>707136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f>68930-17868</f>
        <v>51062</v>
      </c>
      <c r="BB52" s="19">
        <f>SUM(BC52+BG52+BJ52+BL52+BO52)</f>
        <v>0</v>
      </c>
      <c r="BC52" s="19">
        <f>SUM(BD52:BF52)</f>
        <v>0</v>
      </c>
      <c r="BD52" s="19">
        <v>0</v>
      </c>
      <c r="BE52" s="19">
        <v>0</v>
      </c>
      <c r="BF52" s="19">
        <v>0</v>
      </c>
      <c r="BG52" s="19">
        <f>SUM(BI52:BI52)</f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f t="shared" si="9"/>
        <v>0</v>
      </c>
      <c r="BM52" s="19">
        <v>0</v>
      </c>
      <c r="BN52" s="19">
        <v>0</v>
      </c>
      <c r="BO52" s="19">
        <f>SUM(BP52:BZ52)</f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v>0</v>
      </c>
      <c r="CA52" s="19">
        <f>SUM(CB52+CT52)</f>
        <v>0</v>
      </c>
      <c r="CB52" s="19">
        <f>SUM(CC52+CF52+CL52)</f>
        <v>0</v>
      </c>
      <c r="CC52" s="19">
        <f t="shared" si="10"/>
        <v>0</v>
      </c>
      <c r="CD52" s="19">
        <v>0</v>
      </c>
      <c r="CE52" s="19">
        <v>0</v>
      </c>
      <c r="CF52" s="19">
        <f>SUM(CG52:CK52)</f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v>0</v>
      </c>
      <c r="CL52" s="19">
        <f>SUM(CM52:CQ52)</f>
        <v>0</v>
      </c>
      <c r="CM52" s="19">
        <v>0</v>
      </c>
      <c r="CN52" s="19">
        <v>0</v>
      </c>
      <c r="CO52" s="19">
        <v>0</v>
      </c>
      <c r="CP52" s="19"/>
      <c r="CQ52" s="19"/>
      <c r="CR52" s="19"/>
      <c r="CS52" s="19"/>
      <c r="CT52" s="19">
        <v>0</v>
      </c>
      <c r="CU52" s="19"/>
      <c r="CV52" s="19"/>
      <c r="CW52" s="19"/>
      <c r="CX52" s="19">
        <f t="shared" si="11"/>
        <v>0</v>
      </c>
      <c r="CY52" s="19">
        <f t="shared" si="12"/>
        <v>0</v>
      </c>
      <c r="CZ52" s="19">
        <v>0</v>
      </c>
      <c r="DA52" s="20">
        <v>0</v>
      </c>
    </row>
    <row r="53" spans="1:106" s="86" customFormat="1" ht="15.75" x14ac:dyDescent="0.25">
      <c r="A53" s="73" t="s">
        <v>136</v>
      </c>
      <c r="B53" s="25" t="s">
        <v>1</v>
      </c>
      <c r="C53" s="26" t="s">
        <v>137</v>
      </c>
      <c r="D53" s="27">
        <f>SUM(D54)</f>
        <v>4316071</v>
      </c>
      <c r="E53" s="27">
        <f t="shared" ref="E53:BN53" si="80">SUM(E54)</f>
        <v>4284912</v>
      </c>
      <c r="F53" s="27">
        <f t="shared" si="80"/>
        <v>4284912</v>
      </c>
      <c r="G53" s="27">
        <f t="shared" si="80"/>
        <v>2412907</v>
      </c>
      <c r="H53" s="27">
        <f t="shared" si="80"/>
        <v>603227</v>
      </c>
      <c r="I53" s="27">
        <f t="shared" si="80"/>
        <v>279589</v>
      </c>
      <c r="J53" s="27">
        <f t="shared" si="80"/>
        <v>0</v>
      </c>
      <c r="K53" s="27">
        <f t="shared" si="80"/>
        <v>0</v>
      </c>
      <c r="L53" s="27">
        <f t="shared" si="80"/>
        <v>0</v>
      </c>
      <c r="M53" s="27">
        <f t="shared" si="80"/>
        <v>0</v>
      </c>
      <c r="N53" s="27">
        <f t="shared" si="80"/>
        <v>255927</v>
      </c>
      <c r="O53" s="27">
        <f t="shared" si="80"/>
        <v>23662</v>
      </c>
      <c r="P53" s="27">
        <f t="shared" si="80"/>
        <v>112517</v>
      </c>
      <c r="Q53" s="27">
        <f t="shared" si="80"/>
        <v>0</v>
      </c>
      <c r="R53" s="27">
        <f t="shared" si="80"/>
        <v>112517</v>
      </c>
      <c r="S53" s="27">
        <f t="shared" si="80"/>
        <v>0</v>
      </c>
      <c r="T53" s="27">
        <f t="shared" si="80"/>
        <v>31582</v>
      </c>
      <c r="U53" s="27">
        <f t="shared" si="80"/>
        <v>582344</v>
      </c>
      <c r="V53" s="27">
        <f t="shared" si="80"/>
        <v>26000</v>
      </c>
      <c r="W53" s="27">
        <f t="shared" si="80"/>
        <v>0</v>
      </c>
      <c r="X53" s="27">
        <f t="shared" si="80"/>
        <v>0</v>
      </c>
      <c r="Y53" s="27">
        <f t="shared" si="80"/>
        <v>0</v>
      </c>
      <c r="Z53" s="27">
        <f t="shared" si="80"/>
        <v>0</v>
      </c>
      <c r="AA53" s="27">
        <f t="shared" si="80"/>
        <v>556344</v>
      </c>
      <c r="AB53" s="27">
        <f t="shared" si="80"/>
        <v>0</v>
      </c>
      <c r="AC53" s="27">
        <f t="shared" si="80"/>
        <v>0</v>
      </c>
      <c r="AD53" s="27">
        <f t="shared" si="80"/>
        <v>0</v>
      </c>
      <c r="AE53" s="27">
        <f t="shared" si="80"/>
        <v>262746</v>
      </c>
      <c r="AF53" s="27">
        <f t="shared" si="80"/>
        <v>0</v>
      </c>
      <c r="AG53" s="27">
        <f t="shared" si="80"/>
        <v>0</v>
      </c>
      <c r="AH53" s="27">
        <f t="shared" si="80"/>
        <v>0</v>
      </c>
      <c r="AI53" s="27">
        <f t="shared" si="80"/>
        <v>0</v>
      </c>
      <c r="AJ53" s="27">
        <f t="shared" si="80"/>
        <v>0</v>
      </c>
      <c r="AK53" s="27">
        <f t="shared" si="80"/>
        <v>1000</v>
      </c>
      <c r="AL53" s="27">
        <f t="shared" si="80"/>
        <v>0</v>
      </c>
      <c r="AM53" s="27">
        <f t="shared" si="80"/>
        <v>0</v>
      </c>
      <c r="AN53" s="27">
        <f t="shared" si="80"/>
        <v>20000</v>
      </c>
      <c r="AO53" s="27">
        <f t="shared" si="80"/>
        <v>233640</v>
      </c>
      <c r="AP53" s="27">
        <f t="shared" si="80"/>
        <v>0</v>
      </c>
      <c r="AQ53" s="27"/>
      <c r="AR53" s="27">
        <f t="shared" si="80"/>
        <v>0</v>
      </c>
      <c r="AS53" s="27">
        <f t="shared" si="80"/>
        <v>0</v>
      </c>
      <c r="AT53" s="27">
        <f t="shared" si="80"/>
        <v>0</v>
      </c>
      <c r="AU53" s="27">
        <f t="shared" si="80"/>
        <v>0</v>
      </c>
      <c r="AV53" s="27">
        <f t="shared" si="80"/>
        <v>0</v>
      </c>
      <c r="AW53" s="27">
        <f t="shared" si="80"/>
        <v>0</v>
      </c>
      <c r="AX53" s="27">
        <f t="shared" si="80"/>
        <v>0</v>
      </c>
      <c r="AY53" s="27">
        <f t="shared" si="80"/>
        <v>0</v>
      </c>
      <c r="AZ53" s="27">
        <f t="shared" si="80"/>
        <v>0</v>
      </c>
      <c r="BA53" s="27">
        <f t="shared" si="80"/>
        <v>8106</v>
      </c>
      <c r="BB53" s="27">
        <f t="shared" si="80"/>
        <v>0</v>
      </c>
      <c r="BC53" s="27">
        <f t="shared" si="80"/>
        <v>0</v>
      </c>
      <c r="BD53" s="27">
        <f t="shared" si="80"/>
        <v>0</v>
      </c>
      <c r="BE53" s="27">
        <f t="shared" si="80"/>
        <v>0</v>
      </c>
      <c r="BF53" s="27">
        <f t="shared" si="80"/>
        <v>0</v>
      </c>
      <c r="BG53" s="27">
        <f t="shared" si="80"/>
        <v>0</v>
      </c>
      <c r="BH53" s="27">
        <f t="shared" si="80"/>
        <v>0</v>
      </c>
      <c r="BI53" s="27">
        <f t="shared" si="80"/>
        <v>0</v>
      </c>
      <c r="BJ53" s="27">
        <f t="shared" si="80"/>
        <v>0</v>
      </c>
      <c r="BK53" s="27">
        <f t="shared" si="80"/>
        <v>0</v>
      </c>
      <c r="BL53" s="27">
        <f t="shared" si="80"/>
        <v>0</v>
      </c>
      <c r="BM53" s="27">
        <f t="shared" si="80"/>
        <v>0</v>
      </c>
      <c r="BN53" s="27">
        <f t="shared" si="80"/>
        <v>0</v>
      </c>
      <c r="BO53" s="27">
        <f t="shared" ref="BO53:CZ53" si="81">SUM(BO54)</f>
        <v>0</v>
      </c>
      <c r="BP53" s="27">
        <f t="shared" si="81"/>
        <v>0</v>
      </c>
      <c r="BQ53" s="27">
        <f t="shared" si="81"/>
        <v>0</v>
      </c>
      <c r="BR53" s="27">
        <f t="shared" si="81"/>
        <v>0</v>
      </c>
      <c r="BS53" s="27">
        <f t="shared" si="81"/>
        <v>0</v>
      </c>
      <c r="BT53" s="27">
        <f t="shared" si="81"/>
        <v>0</v>
      </c>
      <c r="BU53" s="27">
        <f t="shared" si="81"/>
        <v>0</v>
      </c>
      <c r="BV53" s="27">
        <f t="shared" si="81"/>
        <v>0</v>
      </c>
      <c r="BW53" s="27">
        <f t="shared" si="81"/>
        <v>0</v>
      </c>
      <c r="BX53" s="27">
        <f t="shared" si="81"/>
        <v>0</v>
      </c>
      <c r="BY53" s="27">
        <f t="shared" si="81"/>
        <v>0</v>
      </c>
      <c r="BZ53" s="27">
        <f t="shared" si="81"/>
        <v>0</v>
      </c>
      <c r="CA53" s="27">
        <f t="shared" si="81"/>
        <v>31159</v>
      </c>
      <c r="CB53" s="27">
        <f t="shared" si="81"/>
        <v>31159</v>
      </c>
      <c r="CC53" s="27">
        <f t="shared" si="81"/>
        <v>31159</v>
      </c>
      <c r="CD53" s="27">
        <f t="shared" si="81"/>
        <v>0</v>
      </c>
      <c r="CE53" s="27">
        <f t="shared" si="81"/>
        <v>31159</v>
      </c>
      <c r="CF53" s="27">
        <f t="shared" si="81"/>
        <v>0</v>
      </c>
      <c r="CG53" s="27">
        <f t="shared" si="81"/>
        <v>0</v>
      </c>
      <c r="CH53" s="27">
        <f t="shared" si="81"/>
        <v>0</v>
      </c>
      <c r="CI53" s="27">
        <f t="shared" si="81"/>
        <v>0</v>
      </c>
      <c r="CJ53" s="27">
        <f t="shared" si="81"/>
        <v>0</v>
      </c>
      <c r="CK53" s="27">
        <f t="shared" si="81"/>
        <v>0</v>
      </c>
      <c r="CL53" s="27">
        <f t="shared" si="81"/>
        <v>0</v>
      </c>
      <c r="CM53" s="27">
        <f t="shared" si="81"/>
        <v>0</v>
      </c>
      <c r="CN53" s="27">
        <f t="shared" si="81"/>
        <v>0</v>
      </c>
      <c r="CO53" s="27">
        <f t="shared" si="81"/>
        <v>0</v>
      </c>
      <c r="CP53" s="27">
        <f t="shared" si="81"/>
        <v>0</v>
      </c>
      <c r="CQ53" s="27">
        <f t="shared" si="81"/>
        <v>0</v>
      </c>
      <c r="CR53" s="27"/>
      <c r="CS53" s="27"/>
      <c r="CT53" s="27">
        <f t="shared" si="81"/>
        <v>0</v>
      </c>
      <c r="CU53" s="27"/>
      <c r="CV53" s="27"/>
      <c r="CW53" s="27"/>
      <c r="CX53" s="27">
        <f t="shared" si="81"/>
        <v>0</v>
      </c>
      <c r="CY53" s="27">
        <f t="shared" si="81"/>
        <v>0</v>
      </c>
      <c r="CZ53" s="27">
        <f t="shared" si="81"/>
        <v>0</v>
      </c>
      <c r="DA53" s="55">
        <f>SUM(DA54)</f>
        <v>0</v>
      </c>
      <c r="DB53" s="85"/>
    </row>
    <row r="54" spans="1:106" s="86" customFormat="1" ht="15.75" x14ac:dyDescent="0.25">
      <c r="A54" s="71" t="s">
        <v>138</v>
      </c>
      <c r="B54" s="16" t="s">
        <v>1</v>
      </c>
      <c r="C54" s="17" t="s">
        <v>139</v>
      </c>
      <c r="D54" s="18">
        <f t="shared" ref="D54:BR54" si="82">SUM(D55)</f>
        <v>4316071</v>
      </c>
      <c r="E54" s="18">
        <f t="shared" si="82"/>
        <v>4284912</v>
      </c>
      <c r="F54" s="18">
        <f t="shared" si="82"/>
        <v>4284912</v>
      </c>
      <c r="G54" s="18">
        <f t="shared" si="82"/>
        <v>2412907</v>
      </c>
      <c r="H54" s="18">
        <f t="shared" si="82"/>
        <v>603227</v>
      </c>
      <c r="I54" s="18">
        <f t="shared" si="82"/>
        <v>279589</v>
      </c>
      <c r="J54" s="18">
        <f t="shared" si="82"/>
        <v>0</v>
      </c>
      <c r="K54" s="18">
        <f t="shared" si="82"/>
        <v>0</v>
      </c>
      <c r="L54" s="18">
        <f t="shared" si="82"/>
        <v>0</v>
      </c>
      <c r="M54" s="18">
        <f t="shared" si="82"/>
        <v>0</v>
      </c>
      <c r="N54" s="18">
        <f t="shared" si="82"/>
        <v>255927</v>
      </c>
      <c r="O54" s="18">
        <f t="shared" si="82"/>
        <v>23662</v>
      </c>
      <c r="P54" s="18">
        <f t="shared" si="82"/>
        <v>112517</v>
      </c>
      <c r="Q54" s="18">
        <f t="shared" si="82"/>
        <v>0</v>
      </c>
      <c r="R54" s="18">
        <f t="shared" si="82"/>
        <v>112517</v>
      </c>
      <c r="S54" s="18">
        <f t="shared" si="82"/>
        <v>0</v>
      </c>
      <c r="T54" s="18">
        <f t="shared" si="82"/>
        <v>31582</v>
      </c>
      <c r="U54" s="18">
        <f t="shared" si="82"/>
        <v>582344</v>
      </c>
      <c r="V54" s="18">
        <f t="shared" si="82"/>
        <v>26000</v>
      </c>
      <c r="W54" s="18">
        <f t="shared" si="82"/>
        <v>0</v>
      </c>
      <c r="X54" s="18">
        <f t="shared" si="82"/>
        <v>0</v>
      </c>
      <c r="Y54" s="18">
        <f t="shared" si="82"/>
        <v>0</v>
      </c>
      <c r="Z54" s="18">
        <f t="shared" si="82"/>
        <v>0</v>
      </c>
      <c r="AA54" s="18">
        <f t="shared" si="82"/>
        <v>556344</v>
      </c>
      <c r="AB54" s="18">
        <f t="shared" si="82"/>
        <v>0</v>
      </c>
      <c r="AC54" s="18">
        <f t="shared" si="82"/>
        <v>0</v>
      </c>
      <c r="AD54" s="18">
        <f t="shared" si="82"/>
        <v>0</v>
      </c>
      <c r="AE54" s="18">
        <f t="shared" si="82"/>
        <v>262746</v>
      </c>
      <c r="AF54" s="18">
        <f t="shared" si="82"/>
        <v>0</v>
      </c>
      <c r="AG54" s="18">
        <f t="shared" si="82"/>
        <v>0</v>
      </c>
      <c r="AH54" s="18">
        <f t="shared" si="82"/>
        <v>0</v>
      </c>
      <c r="AI54" s="18">
        <f t="shared" si="82"/>
        <v>0</v>
      </c>
      <c r="AJ54" s="18">
        <f t="shared" si="82"/>
        <v>0</v>
      </c>
      <c r="AK54" s="18">
        <f t="shared" si="82"/>
        <v>1000</v>
      </c>
      <c r="AL54" s="18">
        <f t="shared" si="82"/>
        <v>0</v>
      </c>
      <c r="AM54" s="18">
        <f t="shared" si="82"/>
        <v>0</v>
      </c>
      <c r="AN54" s="18">
        <f t="shared" si="82"/>
        <v>20000</v>
      </c>
      <c r="AO54" s="18">
        <f t="shared" si="82"/>
        <v>233640</v>
      </c>
      <c r="AP54" s="18">
        <f t="shared" si="82"/>
        <v>0</v>
      </c>
      <c r="AQ54" s="18"/>
      <c r="AR54" s="18">
        <f t="shared" si="82"/>
        <v>0</v>
      </c>
      <c r="AS54" s="18">
        <f t="shared" si="82"/>
        <v>0</v>
      </c>
      <c r="AT54" s="18">
        <f t="shared" si="82"/>
        <v>0</v>
      </c>
      <c r="AU54" s="18"/>
      <c r="AV54" s="18"/>
      <c r="AW54" s="18">
        <f t="shared" si="82"/>
        <v>0</v>
      </c>
      <c r="AX54" s="18">
        <f t="shared" si="82"/>
        <v>0</v>
      </c>
      <c r="AY54" s="18">
        <f t="shared" si="82"/>
        <v>0</v>
      </c>
      <c r="AZ54" s="18"/>
      <c r="BA54" s="18">
        <f t="shared" si="82"/>
        <v>8106</v>
      </c>
      <c r="BB54" s="18">
        <f t="shared" si="82"/>
        <v>0</v>
      </c>
      <c r="BC54" s="18">
        <f t="shared" si="82"/>
        <v>0</v>
      </c>
      <c r="BD54" s="18">
        <f t="shared" si="82"/>
        <v>0</v>
      </c>
      <c r="BE54" s="18">
        <f t="shared" si="82"/>
        <v>0</v>
      </c>
      <c r="BF54" s="18">
        <f t="shared" si="82"/>
        <v>0</v>
      </c>
      <c r="BG54" s="18">
        <f t="shared" si="82"/>
        <v>0</v>
      </c>
      <c r="BH54" s="18">
        <f t="shared" si="82"/>
        <v>0</v>
      </c>
      <c r="BI54" s="18">
        <f t="shared" si="82"/>
        <v>0</v>
      </c>
      <c r="BJ54" s="18">
        <f t="shared" si="82"/>
        <v>0</v>
      </c>
      <c r="BK54" s="18">
        <f t="shared" si="82"/>
        <v>0</v>
      </c>
      <c r="BL54" s="18">
        <f t="shared" si="82"/>
        <v>0</v>
      </c>
      <c r="BM54" s="18">
        <f t="shared" si="82"/>
        <v>0</v>
      </c>
      <c r="BN54" s="18">
        <f t="shared" si="82"/>
        <v>0</v>
      </c>
      <c r="BO54" s="18">
        <f t="shared" si="82"/>
        <v>0</v>
      </c>
      <c r="BP54" s="18">
        <f t="shared" si="82"/>
        <v>0</v>
      </c>
      <c r="BQ54" s="18">
        <f t="shared" si="82"/>
        <v>0</v>
      </c>
      <c r="BR54" s="18">
        <f t="shared" si="82"/>
        <v>0</v>
      </c>
      <c r="BS54" s="18">
        <f t="shared" ref="BS54:DA54" si="83">SUM(BS55)</f>
        <v>0</v>
      </c>
      <c r="BT54" s="18">
        <f t="shared" si="83"/>
        <v>0</v>
      </c>
      <c r="BU54" s="18">
        <f t="shared" si="83"/>
        <v>0</v>
      </c>
      <c r="BV54" s="18">
        <f t="shared" si="83"/>
        <v>0</v>
      </c>
      <c r="BW54" s="18">
        <f t="shared" si="83"/>
        <v>0</v>
      </c>
      <c r="BX54" s="18">
        <f t="shared" si="83"/>
        <v>0</v>
      </c>
      <c r="BY54" s="18">
        <f t="shared" si="83"/>
        <v>0</v>
      </c>
      <c r="BZ54" s="18">
        <f t="shared" si="83"/>
        <v>0</v>
      </c>
      <c r="CA54" s="18">
        <f t="shared" si="83"/>
        <v>31159</v>
      </c>
      <c r="CB54" s="18">
        <f t="shared" si="83"/>
        <v>31159</v>
      </c>
      <c r="CC54" s="18">
        <f t="shared" si="83"/>
        <v>31159</v>
      </c>
      <c r="CD54" s="18">
        <f t="shared" si="83"/>
        <v>0</v>
      </c>
      <c r="CE54" s="18">
        <f t="shared" si="83"/>
        <v>31159</v>
      </c>
      <c r="CF54" s="18">
        <f t="shared" si="83"/>
        <v>0</v>
      </c>
      <c r="CG54" s="18">
        <f t="shared" si="83"/>
        <v>0</v>
      </c>
      <c r="CH54" s="18">
        <f t="shared" si="83"/>
        <v>0</v>
      </c>
      <c r="CI54" s="18">
        <f t="shared" si="83"/>
        <v>0</v>
      </c>
      <c r="CJ54" s="18">
        <f t="shared" si="83"/>
        <v>0</v>
      </c>
      <c r="CK54" s="18">
        <f t="shared" si="83"/>
        <v>0</v>
      </c>
      <c r="CL54" s="18">
        <f t="shared" si="83"/>
        <v>0</v>
      </c>
      <c r="CM54" s="18">
        <f t="shared" si="83"/>
        <v>0</v>
      </c>
      <c r="CN54" s="18">
        <f t="shared" si="83"/>
        <v>0</v>
      </c>
      <c r="CO54" s="18">
        <f t="shared" si="83"/>
        <v>0</v>
      </c>
      <c r="CP54" s="18"/>
      <c r="CQ54" s="18"/>
      <c r="CR54" s="18"/>
      <c r="CS54" s="18"/>
      <c r="CT54" s="18">
        <f t="shared" si="83"/>
        <v>0</v>
      </c>
      <c r="CU54" s="18"/>
      <c r="CV54" s="18"/>
      <c r="CW54" s="18"/>
      <c r="CX54" s="18">
        <f t="shared" si="83"/>
        <v>0</v>
      </c>
      <c r="CY54" s="18">
        <f t="shared" si="83"/>
        <v>0</v>
      </c>
      <c r="CZ54" s="18">
        <f t="shared" si="83"/>
        <v>0</v>
      </c>
      <c r="DA54" s="46">
        <f t="shared" si="83"/>
        <v>0</v>
      </c>
      <c r="DB54" s="85"/>
    </row>
    <row r="55" spans="1:106" ht="31.5" x14ac:dyDescent="0.25">
      <c r="A55" s="72" t="s">
        <v>1</v>
      </c>
      <c r="B55" s="21" t="s">
        <v>90</v>
      </c>
      <c r="C55" s="22" t="s">
        <v>140</v>
      </c>
      <c r="D55" s="18">
        <f>SUM(E55+CA55+CX55)</f>
        <v>4316071</v>
      </c>
      <c r="E55" s="19">
        <f>SUM(F55+BB55)</f>
        <v>4284912</v>
      </c>
      <c r="F55" s="19">
        <f>SUM(G55+H55+I55+P55+S55+T55+U55+AE55)</f>
        <v>4284912</v>
      </c>
      <c r="G55" s="23">
        <v>2412907</v>
      </c>
      <c r="H55" s="23">
        <v>603227</v>
      </c>
      <c r="I55" s="19">
        <f t="shared" si="7"/>
        <v>279589</v>
      </c>
      <c r="J55" s="19">
        <v>0</v>
      </c>
      <c r="K55" s="19">
        <v>0</v>
      </c>
      <c r="L55" s="19">
        <v>0</v>
      </c>
      <c r="M55" s="19">
        <v>0</v>
      </c>
      <c r="N55" s="23">
        <v>255927</v>
      </c>
      <c r="O55" s="23">
        <v>23662</v>
      </c>
      <c r="P55" s="19">
        <f t="shared" si="8"/>
        <v>112517</v>
      </c>
      <c r="Q55" s="19">
        <v>0</v>
      </c>
      <c r="R55" s="23">
        <v>112517</v>
      </c>
      <c r="S55" s="23">
        <v>0</v>
      </c>
      <c r="T55" s="23">
        <f>35582-4000</f>
        <v>31582</v>
      </c>
      <c r="U55" s="19">
        <f>SUM(V55:AC55)</f>
        <v>582344</v>
      </c>
      <c r="V55" s="23">
        <v>26000</v>
      </c>
      <c r="W55" s="23">
        <v>0</v>
      </c>
      <c r="X55" s="23">
        <v>0</v>
      </c>
      <c r="Y55" s="23">
        <v>0</v>
      </c>
      <c r="Z55" s="23">
        <v>0</v>
      </c>
      <c r="AA55" s="23">
        <v>556344</v>
      </c>
      <c r="AB55" s="19">
        <v>0</v>
      </c>
      <c r="AC55" s="19">
        <v>0</v>
      </c>
      <c r="AD55" s="19">
        <v>0</v>
      </c>
      <c r="AE55" s="19">
        <f>SUM(AF55:BA55)</f>
        <v>262746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23">
        <v>1000</v>
      </c>
      <c r="AL55" s="19">
        <v>0</v>
      </c>
      <c r="AM55" s="19">
        <v>0</v>
      </c>
      <c r="AN55" s="19">
        <v>20000</v>
      </c>
      <c r="AO55" s="23">
        <v>233640</v>
      </c>
      <c r="AP55" s="19">
        <v>0</v>
      </c>
      <c r="AQ55" s="19"/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23">
        <v>0</v>
      </c>
      <c r="AZ55" s="23">
        <v>0</v>
      </c>
      <c r="BA55" s="23">
        <v>8106</v>
      </c>
      <c r="BB55" s="19">
        <f>SUM(BC55+BG55+BJ55+BL55+BO55)</f>
        <v>0</v>
      </c>
      <c r="BC55" s="19">
        <f>SUM(BD55:BF55)</f>
        <v>0</v>
      </c>
      <c r="BD55" s="19">
        <v>0</v>
      </c>
      <c r="BE55" s="19">
        <v>0</v>
      </c>
      <c r="BF55" s="19">
        <v>0</v>
      </c>
      <c r="BG55" s="19">
        <f>SUM(BI55:BI55)</f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f t="shared" si="9"/>
        <v>0</v>
      </c>
      <c r="BM55" s="19">
        <v>0</v>
      </c>
      <c r="BN55" s="19">
        <v>0</v>
      </c>
      <c r="BO55" s="19">
        <f>SUM(BP55:BZ55)</f>
        <v>0</v>
      </c>
      <c r="BP55" s="19">
        <v>0</v>
      </c>
      <c r="BQ55" s="19">
        <v>0</v>
      </c>
      <c r="BR55" s="19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0</v>
      </c>
      <c r="BZ55" s="19">
        <v>0</v>
      </c>
      <c r="CA55" s="19">
        <f>SUM(CB55+CT55)</f>
        <v>31159</v>
      </c>
      <c r="CB55" s="19">
        <f>SUM(CC55+CF55+CL55)</f>
        <v>31159</v>
      </c>
      <c r="CC55" s="19">
        <f t="shared" si="10"/>
        <v>31159</v>
      </c>
      <c r="CD55" s="19">
        <v>0</v>
      </c>
      <c r="CE55" s="23">
        <v>31159</v>
      </c>
      <c r="CF55" s="19">
        <f>SUM(CG55:CK55)</f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f>SUM(CM55:CQ55)</f>
        <v>0</v>
      </c>
      <c r="CM55" s="19">
        <v>0</v>
      </c>
      <c r="CN55" s="19">
        <v>0</v>
      </c>
      <c r="CO55" s="19">
        <v>0</v>
      </c>
      <c r="CP55" s="19"/>
      <c r="CQ55" s="19"/>
      <c r="CR55" s="19"/>
      <c r="CS55" s="19"/>
      <c r="CT55" s="19">
        <v>0</v>
      </c>
      <c r="CU55" s="19"/>
      <c r="CV55" s="19"/>
      <c r="CW55" s="19"/>
      <c r="CX55" s="19">
        <f t="shared" si="11"/>
        <v>0</v>
      </c>
      <c r="CY55" s="19">
        <f t="shared" si="12"/>
        <v>0</v>
      </c>
      <c r="CZ55" s="19">
        <v>0</v>
      </c>
      <c r="DA55" s="20">
        <v>0</v>
      </c>
    </row>
    <row r="56" spans="1:106" s="86" customFormat="1" ht="15.75" x14ac:dyDescent="0.25">
      <c r="A56" s="73" t="s">
        <v>141</v>
      </c>
      <c r="B56" s="25" t="s">
        <v>1</v>
      </c>
      <c r="C56" s="26" t="s">
        <v>142</v>
      </c>
      <c r="D56" s="27">
        <f t="shared" ref="D56:BR56" si="84">SUM(D57+D59)</f>
        <v>354172601</v>
      </c>
      <c r="E56" s="27">
        <f t="shared" si="84"/>
        <v>314319894</v>
      </c>
      <c r="F56" s="27">
        <f t="shared" si="84"/>
        <v>310874414</v>
      </c>
      <c r="G56" s="27">
        <f t="shared" si="84"/>
        <v>158897484</v>
      </c>
      <c r="H56" s="27">
        <f t="shared" si="84"/>
        <v>7409657</v>
      </c>
      <c r="I56" s="27">
        <f t="shared" si="84"/>
        <v>109079669</v>
      </c>
      <c r="J56" s="27">
        <f t="shared" si="84"/>
        <v>236293</v>
      </c>
      <c r="K56" s="27">
        <f t="shared" si="84"/>
        <v>35733846</v>
      </c>
      <c r="L56" s="27">
        <f t="shared" si="84"/>
        <v>25850283</v>
      </c>
      <c r="M56" s="27">
        <f t="shared" si="84"/>
        <v>9029500</v>
      </c>
      <c r="N56" s="27">
        <f t="shared" si="84"/>
        <v>27176641</v>
      </c>
      <c r="O56" s="27">
        <f t="shared" si="84"/>
        <v>11053106</v>
      </c>
      <c r="P56" s="27">
        <f t="shared" si="84"/>
        <v>146216</v>
      </c>
      <c r="Q56" s="27">
        <f t="shared" si="84"/>
        <v>54925</v>
      </c>
      <c r="R56" s="27">
        <f t="shared" si="84"/>
        <v>91291</v>
      </c>
      <c r="S56" s="27">
        <f t="shared" si="84"/>
        <v>0</v>
      </c>
      <c r="T56" s="27">
        <f t="shared" si="84"/>
        <v>466713</v>
      </c>
      <c r="U56" s="27">
        <f t="shared" si="84"/>
        <v>7388484</v>
      </c>
      <c r="V56" s="27">
        <f t="shared" si="84"/>
        <v>1051505</v>
      </c>
      <c r="W56" s="27">
        <f t="shared" si="84"/>
        <v>1941311</v>
      </c>
      <c r="X56" s="27">
        <f t="shared" si="84"/>
        <v>3173033</v>
      </c>
      <c r="Y56" s="27">
        <f t="shared" si="84"/>
        <v>960658</v>
      </c>
      <c r="Z56" s="27">
        <f t="shared" si="84"/>
        <v>27468</v>
      </c>
      <c r="AA56" s="27">
        <f t="shared" si="84"/>
        <v>0</v>
      </c>
      <c r="AB56" s="27">
        <f t="shared" si="84"/>
        <v>0</v>
      </c>
      <c r="AC56" s="27">
        <f t="shared" si="84"/>
        <v>234509</v>
      </c>
      <c r="AD56" s="27">
        <f t="shared" ref="AD56" si="85">SUM(AD57+AD59)</f>
        <v>0</v>
      </c>
      <c r="AE56" s="27">
        <f t="shared" si="84"/>
        <v>27486191</v>
      </c>
      <c r="AF56" s="27">
        <f t="shared" si="84"/>
        <v>0</v>
      </c>
      <c r="AG56" s="27">
        <f t="shared" si="84"/>
        <v>0</v>
      </c>
      <c r="AH56" s="27">
        <f t="shared" si="84"/>
        <v>416250</v>
      </c>
      <c r="AI56" s="27">
        <f t="shared" si="84"/>
        <v>2697102</v>
      </c>
      <c r="AJ56" s="27">
        <f t="shared" si="84"/>
        <v>0</v>
      </c>
      <c r="AK56" s="27">
        <f t="shared" si="84"/>
        <v>7000</v>
      </c>
      <c r="AL56" s="27">
        <f t="shared" si="84"/>
        <v>0</v>
      </c>
      <c r="AM56" s="27">
        <f t="shared" si="84"/>
        <v>29902</v>
      </c>
      <c r="AN56" s="27">
        <f t="shared" si="84"/>
        <v>55507</v>
      </c>
      <c r="AO56" s="27">
        <f t="shared" si="84"/>
        <v>54714</v>
      </c>
      <c r="AP56" s="27">
        <f t="shared" si="84"/>
        <v>35910</v>
      </c>
      <c r="AQ56" s="27"/>
      <c r="AR56" s="27">
        <f t="shared" si="84"/>
        <v>10624211</v>
      </c>
      <c r="AS56" s="27">
        <f t="shared" si="84"/>
        <v>25920</v>
      </c>
      <c r="AT56" s="27">
        <f t="shared" si="84"/>
        <v>0</v>
      </c>
      <c r="AU56" s="27"/>
      <c r="AV56" s="27"/>
      <c r="AW56" s="27">
        <f t="shared" si="84"/>
        <v>0</v>
      </c>
      <c r="AX56" s="27">
        <f t="shared" si="84"/>
        <v>9608435</v>
      </c>
      <c r="AY56" s="27">
        <f t="shared" si="84"/>
        <v>2361</v>
      </c>
      <c r="AZ56" s="27"/>
      <c r="BA56" s="27">
        <f t="shared" si="84"/>
        <v>3928879</v>
      </c>
      <c r="BB56" s="27">
        <f t="shared" si="84"/>
        <v>3445480</v>
      </c>
      <c r="BC56" s="27">
        <f t="shared" si="84"/>
        <v>0</v>
      </c>
      <c r="BD56" s="27">
        <f t="shared" si="84"/>
        <v>0</v>
      </c>
      <c r="BE56" s="27">
        <f t="shared" si="84"/>
        <v>0</v>
      </c>
      <c r="BF56" s="27">
        <f t="shared" si="84"/>
        <v>0</v>
      </c>
      <c r="BG56" s="27">
        <f t="shared" si="84"/>
        <v>0</v>
      </c>
      <c r="BH56" s="27">
        <f t="shared" si="84"/>
        <v>0</v>
      </c>
      <c r="BI56" s="27">
        <f t="shared" si="84"/>
        <v>0</v>
      </c>
      <c r="BJ56" s="27">
        <f t="shared" si="84"/>
        <v>0</v>
      </c>
      <c r="BK56" s="27">
        <f t="shared" ref="BK56" si="86">SUM(BK57+BK59)</f>
        <v>0</v>
      </c>
      <c r="BL56" s="27">
        <f t="shared" si="84"/>
        <v>152625</v>
      </c>
      <c r="BM56" s="27">
        <f t="shared" si="84"/>
        <v>152625</v>
      </c>
      <c r="BN56" s="27">
        <f t="shared" ref="BN56" si="87">SUM(BN57+BN59)</f>
        <v>0</v>
      </c>
      <c r="BO56" s="27">
        <f t="shared" si="84"/>
        <v>3292855</v>
      </c>
      <c r="BP56" s="27">
        <f t="shared" si="84"/>
        <v>0</v>
      </c>
      <c r="BQ56" s="27">
        <f t="shared" si="84"/>
        <v>0</v>
      </c>
      <c r="BR56" s="27">
        <f t="shared" si="84"/>
        <v>0</v>
      </c>
      <c r="BS56" s="27">
        <f t="shared" ref="BS56:DA56" si="88">SUM(BS57+BS59)</f>
        <v>0</v>
      </c>
      <c r="BT56" s="27">
        <f t="shared" si="88"/>
        <v>0</v>
      </c>
      <c r="BU56" s="27">
        <f t="shared" si="88"/>
        <v>0</v>
      </c>
      <c r="BV56" s="27">
        <f t="shared" si="88"/>
        <v>0</v>
      </c>
      <c r="BW56" s="27">
        <f t="shared" si="88"/>
        <v>0</v>
      </c>
      <c r="BX56" s="27">
        <f t="shared" si="88"/>
        <v>0</v>
      </c>
      <c r="BY56" s="27">
        <f t="shared" si="88"/>
        <v>2024216</v>
      </c>
      <c r="BZ56" s="27">
        <f t="shared" si="88"/>
        <v>1268639</v>
      </c>
      <c r="CA56" s="27">
        <f t="shared" si="88"/>
        <v>39852707</v>
      </c>
      <c r="CB56" s="27">
        <f t="shared" si="88"/>
        <v>39852707</v>
      </c>
      <c r="CC56" s="27">
        <f t="shared" si="88"/>
        <v>16849809</v>
      </c>
      <c r="CD56" s="27">
        <f t="shared" si="88"/>
        <v>0</v>
      </c>
      <c r="CE56" s="27">
        <f t="shared" si="88"/>
        <v>16849809</v>
      </c>
      <c r="CF56" s="27">
        <f t="shared" si="88"/>
        <v>10042975</v>
      </c>
      <c r="CG56" s="27">
        <f t="shared" si="88"/>
        <v>0</v>
      </c>
      <c r="CH56" s="27">
        <f t="shared" ref="CH56:CI56" si="89">SUM(CH57+CH59)</f>
        <v>10042975</v>
      </c>
      <c r="CI56" s="27">
        <f t="shared" si="89"/>
        <v>0</v>
      </c>
      <c r="CJ56" s="27">
        <f t="shared" si="88"/>
        <v>0</v>
      </c>
      <c r="CK56" s="27">
        <f t="shared" ref="CK56" si="90">SUM(CK57+CK59)</f>
        <v>0</v>
      </c>
      <c r="CL56" s="27">
        <f t="shared" si="88"/>
        <v>12959923</v>
      </c>
      <c r="CM56" s="27">
        <f t="shared" si="88"/>
        <v>0</v>
      </c>
      <c r="CN56" s="27">
        <f t="shared" ref="CN56" si="91">SUM(CN57+CN59)</f>
        <v>0</v>
      </c>
      <c r="CO56" s="27">
        <f t="shared" si="88"/>
        <v>12959923</v>
      </c>
      <c r="CP56" s="27"/>
      <c r="CQ56" s="27"/>
      <c r="CR56" s="27"/>
      <c r="CS56" s="27"/>
      <c r="CT56" s="27">
        <f t="shared" si="88"/>
        <v>0</v>
      </c>
      <c r="CU56" s="27"/>
      <c r="CV56" s="27"/>
      <c r="CW56" s="27"/>
      <c r="CX56" s="27">
        <f t="shared" si="88"/>
        <v>0</v>
      </c>
      <c r="CY56" s="27">
        <f t="shared" si="88"/>
        <v>0</v>
      </c>
      <c r="CZ56" s="27">
        <f t="shared" si="88"/>
        <v>0</v>
      </c>
      <c r="DA56" s="55">
        <f t="shared" si="88"/>
        <v>0</v>
      </c>
      <c r="DB56" s="85"/>
    </row>
    <row r="57" spans="1:106" s="86" customFormat="1" ht="15.75" x14ac:dyDescent="0.25">
      <c r="A57" s="71" t="s">
        <v>143</v>
      </c>
      <c r="B57" s="16" t="s">
        <v>1</v>
      </c>
      <c r="C57" s="17" t="s">
        <v>144</v>
      </c>
      <c r="D57" s="18">
        <f t="shared" ref="D57:BR57" si="92">SUM(D58)</f>
        <v>304251016</v>
      </c>
      <c r="E57" s="18">
        <f t="shared" si="92"/>
        <v>265862988</v>
      </c>
      <c r="F57" s="18">
        <f t="shared" si="92"/>
        <v>264709349</v>
      </c>
      <c r="G57" s="18">
        <f t="shared" si="92"/>
        <v>128725845</v>
      </c>
      <c r="H57" s="18">
        <f t="shared" si="92"/>
        <v>7155565</v>
      </c>
      <c r="I57" s="18">
        <f t="shared" si="92"/>
        <v>96182089</v>
      </c>
      <c r="J57" s="18">
        <f t="shared" si="92"/>
        <v>192763</v>
      </c>
      <c r="K57" s="18">
        <f t="shared" si="92"/>
        <v>33703703</v>
      </c>
      <c r="L57" s="18">
        <f t="shared" si="92"/>
        <v>22208211</v>
      </c>
      <c r="M57" s="18">
        <f t="shared" si="92"/>
        <v>9029500</v>
      </c>
      <c r="N57" s="18">
        <f t="shared" si="92"/>
        <v>20760784</v>
      </c>
      <c r="O57" s="18">
        <f t="shared" si="92"/>
        <v>10287128</v>
      </c>
      <c r="P57" s="18">
        <f t="shared" si="92"/>
        <v>0</v>
      </c>
      <c r="Q57" s="18">
        <f t="shared" si="92"/>
        <v>0</v>
      </c>
      <c r="R57" s="18">
        <f t="shared" si="92"/>
        <v>0</v>
      </c>
      <c r="S57" s="18">
        <f t="shared" si="92"/>
        <v>0</v>
      </c>
      <c r="T57" s="18">
        <f t="shared" si="92"/>
        <v>403895</v>
      </c>
      <c r="U57" s="18">
        <f t="shared" si="92"/>
        <v>7377984</v>
      </c>
      <c r="V57" s="18">
        <f t="shared" si="92"/>
        <v>1041005</v>
      </c>
      <c r="W57" s="18">
        <f t="shared" si="92"/>
        <v>1941311</v>
      </c>
      <c r="X57" s="18">
        <f t="shared" si="92"/>
        <v>3173033</v>
      </c>
      <c r="Y57" s="18">
        <f t="shared" si="92"/>
        <v>960658</v>
      </c>
      <c r="Z57" s="18">
        <f t="shared" si="92"/>
        <v>27468</v>
      </c>
      <c r="AA57" s="18">
        <f t="shared" si="92"/>
        <v>0</v>
      </c>
      <c r="AB57" s="18">
        <f t="shared" si="92"/>
        <v>0</v>
      </c>
      <c r="AC57" s="18">
        <f t="shared" si="92"/>
        <v>234509</v>
      </c>
      <c r="AD57" s="18">
        <f t="shared" si="92"/>
        <v>0</v>
      </c>
      <c r="AE57" s="18">
        <f t="shared" si="92"/>
        <v>24863971</v>
      </c>
      <c r="AF57" s="18">
        <f t="shared" si="92"/>
        <v>0</v>
      </c>
      <c r="AG57" s="18">
        <f t="shared" si="92"/>
        <v>0</v>
      </c>
      <c r="AH57" s="18">
        <f t="shared" si="92"/>
        <v>401250</v>
      </c>
      <c r="AI57" s="18">
        <f t="shared" si="92"/>
        <v>2597102</v>
      </c>
      <c r="AJ57" s="18">
        <f t="shared" si="92"/>
        <v>0</v>
      </c>
      <c r="AK57" s="18">
        <f t="shared" si="92"/>
        <v>7000</v>
      </c>
      <c r="AL57" s="18">
        <f t="shared" si="92"/>
        <v>0</v>
      </c>
      <c r="AM57" s="18">
        <f t="shared" si="92"/>
        <v>29902</v>
      </c>
      <c r="AN57" s="18">
        <f t="shared" si="92"/>
        <v>45507</v>
      </c>
      <c r="AO57" s="18">
        <f t="shared" si="92"/>
        <v>25032</v>
      </c>
      <c r="AP57" s="18">
        <f t="shared" si="92"/>
        <v>35910</v>
      </c>
      <c r="AQ57" s="18"/>
      <c r="AR57" s="18">
        <f t="shared" si="92"/>
        <v>10624211</v>
      </c>
      <c r="AS57" s="18">
        <f t="shared" si="92"/>
        <v>25920</v>
      </c>
      <c r="AT57" s="18">
        <f t="shared" si="92"/>
        <v>0</v>
      </c>
      <c r="AU57" s="18"/>
      <c r="AV57" s="18"/>
      <c r="AW57" s="18">
        <f t="shared" si="92"/>
        <v>0</v>
      </c>
      <c r="AX57" s="18">
        <f t="shared" si="92"/>
        <v>7146897</v>
      </c>
      <c r="AY57" s="18">
        <f t="shared" si="92"/>
        <v>2361</v>
      </c>
      <c r="AZ57" s="18"/>
      <c r="BA57" s="18">
        <f t="shared" si="92"/>
        <v>3922879</v>
      </c>
      <c r="BB57" s="18">
        <f t="shared" si="92"/>
        <v>1153639</v>
      </c>
      <c r="BC57" s="18">
        <f t="shared" si="92"/>
        <v>0</v>
      </c>
      <c r="BD57" s="18">
        <f t="shared" si="92"/>
        <v>0</v>
      </c>
      <c r="BE57" s="18">
        <f t="shared" si="92"/>
        <v>0</v>
      </c>
      <c r="BF57" s="18">
        <f t="shared" si="92"/>
        <v>0</v>
      </c>
      <c r="BG57" s="18">
        <f t="shared" si="92"/>
        <v>0</v>
      </c>
      <c r="BH57" s="18">
        <f t="shared" si="92"/>
        <v>0</v>
      </c>
      <c r="BI57" s="18">
        <f t="shared" si="92"/>
        <v>0</v>
      </c>
      <c r="BJ57" s="18">
        <f t="shared" si="92"/>
        <v>0</v>
      </c>
      <c r="BK57" s="18">
        <f t="shared" si="92"/>
        <v>0</v>
      </c>
      <c r="BL57" s="18">
        <f t="shared" si="92"/>
        <v>152625</v>
      </c>
      <c r="BM57" s="18">
        <f t="shared" si="92"/>
        <v>152625</v>
      </c>
      <c r="BN57" s="18">
        <f t="shared" si="92"/>
        <v>0</v>
      </c>
      <c r="BO57" s="18">
        <f t="shared" si="92"/>
        <v>1001014</v>
      </c>
      <c r="BP57" s="18">
        <f t="shared" si="92"/>
        <v>0</v>
      </c>
      <c r="BQ57" s="18">
        <f t="shared" si="92"/>
        <v>0</v>
      </c>
      <c r="BR57" s="18">
        <f t="shared" si="92"/>
        <v>0</v>
      </c>
      <c r="BS57" s="18">
        <f t="shared" ref="BS57:DA57" si="93">SUM(BS58)</f>
        <v>0</v>
      </c>
      <c r="BT57" s="18">
        <f t="shared" si="93"/>
        <v>0</v>
      </c>
      <c r="BU57" s="18">
        <f t="shared" si="93"/>
        <v>0</v>
      </c>
      <c r="BV57" s="18">
        <f t="shared" si="93"/>
        <v>0</v>
      </c>
      <c r="BW57" s="18">
        <f t="shared" si="93"/>
        <v>0</v>
      </c>
      <c r="BX57" s="18">
        <f t="shared" si="93"/>
        <v>0</v>
      </c>
      <c r="BY57" s="18">
        <f t="shared" si="93"/>
        <v>531256</v>
      </c>
      <c r="BZ57" s="18">
        <f t="shared" si="93"/>
        <v>469758</v>
      </c>
      <c r="CA57" s="18">
        <f t="shared" si="93"/>
        <v>38388028</v>
      </c>
      <c r="CB57" s="18">
        <f t="shared" si="93"/>
        <v>38388028</v>
      </c>
      <c r="CC57" s="18">
        <f t="shared" si="93"/>
        <v>15385130</v>
      </c>
      <c r="CD57" s="18">
        <f t="shared" si="93"/>
        <v>0</v>
      </c>
      <c r="CE57" s="18">
        <f t="shared" si="93"/>
        <v>15385130</v>
      </c>
      <c r="CF57" s="18">
        <f t="shared" si="93"/>
        <v>10042975</v>
      </c>
      <c r="CG57" s="18">
        <f t="shared" si="93"/>
        <v>0</v>
      </c>
      <c r="CH57" s="18">
        <f t="shared" si="93"/>
        <v>10042975</v>
      </c>
      <c r="CI57" s="18">
        <f t="shared" si="93"/>
        <v>0</v>
      </c>
      <c r="CJ57" s="18">
        <f t="shared" si="93"/>
        <v>0</v>
      </c>
      <c r="CK57" s="18">
        <f t="shared" si="93"/>
        <v>0</v>
      </c>
      <c r="CL57" s="18">
        <f t="shared" si="93"/>
        <v>12959923</v>
      </c>
      <c r="CM57" s="18">
        <f t="shared" si="93"/>
        <v>0</v>
      </c>
      <c r="CN57" s="18">
        <f t="shared" si="93"/>
        <v>0</v>
      </c>
      <c r="CO57" s="18">
        <f t="shared" si="93"/>
        <v>12959923</v>
      </c>
      <c r="CP57" s="18"/>
      <c r="CQ57" s="18"/>
      <c r="CR57" s="18"/>
      <c r="CS57" s="18"/>
      <c r="CT57" s="18">
        <f t="shared" si="93"/>
        <v>0</v>
      </c>
      <c r="CU57" s="18"/>
      <c r="CV57" s="18"/>
      <c r="CW57" s="18"/>
      <c r="CX57" s="18">
        <f t="shared" si="93"/>
        <v>0</v>
      </c>
      <c r="CY57" s="18">
        <f t="shared" si="93"/>
        <v>0</v>
      </c>
      <c r="CZ57" s="18">
        <f t="shared" si="93"/>
        <v>0</v>
      </c>
      <c r="DA57" s="46">
        <f t="shared" si="93"/>
        <v>0</v>
      </c>
      <c r="DB57" s="85"/>
    </row>
    <row r="58" spans="1:106" ht="15.75" x14ac:dyDescent="0.25">
      <c r="A58" s="72" t="s">
        <v>1</v>
      </c>
      <c r="B58" s="21" t="s">
        <v>145</v>
      </c>
      <c r="C58" s="22" t="s">
        <v>146</v>
      </c>
      <c r="D58" s="18">
        <f>SUM(E58+CA58+CX58)</f>
        <v>304251016</v>
      </c>
      <c r="E58" s="19">
        <f>SUM(F58+BB58)</f>
        <v>265862988</v>
      </c>
      <c r="F58" s="19">
        <f>SUM(G58+H58+I58+P58+S58+T58+U58+AE58)</f>
        <v>264709349</v>
      </c>
      <c r="G58" s="23">
        <v>128725845</v>
      </c>
      <c r="H58" s="23">
        <v>7155565</v>
      </c>
      <c r="I58" s="19">
        <f t="shared" si="7"/>
        <v>96182089</v>
      </c>
      <c r="J58" s="23">
        <v>192763</v>
      </c>
      <c r="K58" s="23">
        <v>33703703</v>
      </c>
      <c r="L58" s="23">
        <f>22788211-580000</f>
        <v>22208211</v>
      </c>
      <c r="M58" s="23">
        <v>9029500</v>
      </c>
      <c r="N58" s="23">
        <f>20949079-188295</f>
        <v>20760784</v>
      </c>
      <c r="O58" s="23">
        <v>10287128</v>
      </c>
      <c r="P58" s="19">
        <f t="shared" si="8"/>
        <v>0</v>
      </c>
      <c r="Q58" s="23"/>
      <c r="R58" s="23">
        <v>0</v>
      </c>
      <c r="S58" s="23">
        <v>0</v>
      </c>
      <c r="T58" s="23">
        <f>853895-450000</f>
        <v>403895</v>
      </c>
      <c r="U58" s="19">
        <f>SUM(V58:AC58)</f>
        <v>7377984</v>
      </c>
      <c r="V58" s="23">
        <v>1041005</v>
      </c>
      <c r="W58" s="23">
        <f>1939893+1418</f>
        <v>1941311</v>
      </c>
      <c r="X58" s="23">
        <f>3093770+79263</f>
        <v>3173033</v>
      </c>
      <c r="Y58" s="23">
        <f>852378+109032-752</f>
        <v>960658</v>
      </c>
      <c r="Z58" s="23">
        <v>27468</v>
      </c>
      <c r="AA58" s="23">
        <v>0</v>
      </c>
      <c r="AB58" s="23">
        <v>0</v>
      </c>
      <c r="AC58" s="23">
        <f>304509-70000</f>
        <v>234509</v>
      </c>
      <c r="AD58" s="19">
        <v>0</v>
      </c>
      <c r="AE58" s="19">
        <f>SUM(AF58:BA58)</f>
        <v>24863971</v>
      </c>
      <c r="AF58" s="19">
        <v>0</v>
      </c>
      <c r="AG58" s="19">
        <v>0</v>
      </c>
      <c r="AH58" s="23">
        <v>401250</v>
      </c>
      <c r="AI58" s="23">
        <v>2597102</v>
      </c>
      <c r="AJ58" s="23">
        <f>10200-10200</f>
        <v>0</v>
      </c>
      <c r="AK58" s="23">
        <v>7000</v>
      </c>
      <c r="AL58" s="23">
        <v>0</v>
      </c>
      <c r="AM58" s="23">
        <v>29902</v>
      </c>
      <c r="AN58" s="23">
        <v>45507</v>
      </c>
      <c r="AO58" s="23">
        <v>25032</v>
      </c>
      <c r="AP58" s="23">
        <f>115910-80000</f>
        <v>35910</v>
      </c>
      <c r="AQ58" s="23"/>
      <c r="AR58" s="23">
        <v>10624211</v>
      </c>
      <c r="AS58" s="23">
        <f>52764-26844</f>
        <v>25920</v>
      </c>
      <c r="AT58" s="23">
        <v>0</v>
      </c>
      <c r="AU58" s="23">
        <v>0</v>
      </c>
      <c r="AV58" s="23">
        <v>0</v>
      </c>
      <c r="AW58" s="23">
        <v>0</v>
      </c>
      <c r="AX58" s="23">
        <f>7196897-50000</f>
        <v>7146897</v>
      </c>
      <c r="AY58" s="23">
        <v>2361</v>
      </c>
      <c r="AZ58" s="23">
        <v>0</v>
      </c>
      <c r="BA58" s="23">
        <v>3922879</v>
      </c>
      <c r="BB58" s="19">
        <f>SUM(BC58+BG58+BJ58+BL58+BO58)</f>
        <v>1153639</v>
      </c>
      <c r="BC58" s="19">
        <f>SUM(BD58:BF58)</f>
        <v>0</v>
      </c>
      <c r="BD58" s="19">
        <v>0</v>
      </c>
      <c r="BE58" s="19">
        <v>0</v>
      </c>
      <c r="BF58" s="19">
        <v>0</v>
      </c>
      <c r="BG58" s="19">
        <f>SUM(BI58:BI58)</f>
        <v>0</v>
      </c>
      <c r="BH58" s="19">
        <v>0</v>
      </c>
      <c r="BI58" s="19">
        <v>0</v>
      </c>
      <c r="BJ58" s="19">
        <v>0</v>
      </c>
      <c r="BK58" s="23"/>
      <c r="BL58" s="19">
        <f t="shared" si="9"/>
        <v>152625</v>
      </c>
      <c r="BM58" s="23">
        <v>152625</v>
      </c>
      <c r="BN58" s="19"/>
      <c r="BO58" s="19">
        <f>SUM(BP58:BZ58)</f>
        <v>1001014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23">
        <f>529271-48015+50000</f>
        <v>531256</v>
      </c>
      <c r="BZ58" s="23">
        <v>469758</v>
      </c>
      <c r="CA58" s="19">
        <f>SUM(CB58+CT58)</f>
        <v>38388028</v>
      </c>
      <c r="CB58" s="19">
        <f>SUM(CC58+CF58+CL58)</f>
        <v>38388028</v>
      </c>
      <c r="CC58" s="19">
        <f t="shared" si="10"/>
        <v>15385130</v>
      </c>
      <c r="CD58" s="19">
        <v>0</v>
      </c>
      <c r="CE58" s="23">
        <v>15385130</v>
      </c>
      <c r="CF58" s="19">
        <f>SUM(CG58:CK58)</f>
        <v>10042975</v>
      </c>
      <c r="CG58" s="19">
        <v>0</v>
      </c>
      <c r="CH58" s="19">
        <v>10042975</v>
      </c>
      <c r="CI58" s="19"/>
      <c r="CJ58" s="19">
        <v>0</v>
      </c>
      <c r="CK58" s="19">
        <v>0</v>
      </c>
      <c r="CL58" s="19">
        <f>SUM(CM58:CQ58)</f>
        <v>12959923</v>
      </c>
      <c r="CM58" s="19"/>
      <c r="CN58" s="19"/>
      <c r="CO58" s="23">
        <v>12959923</v>
      </c>
      <c r="CP58" s="19"/>
      <c r="CQ58" s="19"/>
      <c r="CR58" s="19"/>
      <c r="CS58" s="19"/>
      <c r="CT58" s="19">
        <v>0</v>
      </c>
      <c r="CU58" s="19"/>
      <c r="CV58" s="19"/>
      <c r="CW58" s="19"/>
      <c r="CX58" s="19">
        <f t="shared" si="11"/>
        <v>0</v>
      </c>
      <c r="CY58" s="19">
        <f t="shared" si="12"/>
        <v>0</v>
      </c>
      <c r="CZ58" s="19">
        <v>0</v>
      </c>
      <c r="DA58" s="20">
        <v>0</v>
      </c>
    </row>
    <row r="59" spans="1:106" s="86" customFormat="1" ht="15.75" x14ac:dyDescent="0.25">
      <c r="A59" s="71" t="s">
        <v>147</v>
      </c>
      <c r="B59" s="16" t="s">
        <v>1</v>
      </c>
      <c r="C59" s="17" t="s">
        <v>148</v>
      </c>
      <c r="D59" s="18">
        <f t="shared" ref="D59:AK59" si="94">SUM(D60)</f>
        <v>49921585</v>
      </c>
      <c r="E59" s="18">
        <f t="shared" si="94"/>
        <v>48456906</v>
      </c>
      <c r="F59" s="18">
        <f t="shared" si="94"/>
        <v>46165065</v>
      </c>
      <c r="G59" s="18">
        <f t="shared" si="94"/>
        <v>30171639</v>
      </c>
      <c r="H59" s="18">
        <f t="shared" si="94"/>
        <v>254092</v>
      </c>
      <c r="I59" s="18">
        <f t="shared" si="94"/>
        <v>12897580</v>
      </c>
      <c r="J59" s="18">
        <f t="shared" si="94"/>
        <v>43530</v>
      </c>
      <c r="K59" s="18">
        <f t="shared" si="94"/>
        <v>2030143</v>
      </c>
      <c r="L59" s="18">
        <f t="shared" si="94"/>
        <v>3642072</v>
      </c>
      <c r="M59" s="18">
        <f t="shared" si="94"/>
        <v>0</v>
      </c>
      <c r="N59" s="18">
        <f t="shared" si="94"/>
        <v>6415857</v>
      </c>
      <c r="O59" s="18">
        <f t="shared" si="94"/>
        <v>765978</v>
      </c>
      <c r="P59" s="18">
        <f t="shared" si="94"/>
        <v>146216</v>
      </c>
      <c r="Q59" s="18">
        <f t="shared" si="94"/>
        <v>54925</v>
      </c>
      <c r="R59" s="18">
        <f t="shared" si="94"/>
        <v>91291</v>
      </c>
      <c r="S59" s="18">
        <f t="shared" si="94"/>
        <v>0</v>
      </c>
      <c r="T59" s="18">
        <f t="shared" si="94"/>
        <v>62818</v>
      </c>
      <c r="U59" s="18">
        <f t="shared" si="94"/>
        <v>10500</v>
      </c>
      <c r="V59" s="18">
        <f t="shared" si="94"/>
        <v>10500</v>
      </c>
      <c r="W59" s="18">
        <f t="shared" si="94"/>
        <v>0</v>
      </c>
      <c r="X59" s="18">
        <f t="shared" si="94"/>
        <v>0</v>
      </c>
      <c r="Y59" s="18">
        <f t="shared" si="94"/>
        <v>0</v>
      </c>
      <c r="Z59" s="18">
        <f t="shared" si="94"/>
        <v>0</v>
      </c>
      <c r="AA59" s="18">
        <f t="shared" si="94"/>
        <v>0</v>
      </c>
      <c r="AB59" s="18">
        <f t="shared" si="94"/>
        <v>0</v>
      </c>
      <c r="AC59" s="18">
        <f t="shared" si="94"/>
        <v>0</v>
      </c>
      <c r="AD59" s="18">
        <f t="shared" si="94"/>
        <v>0</v>
      </c>
      <c r="AE59" s="18">
        <f t="shared" si="94"/>
        <v>2622220</v>
      </c>
      <c r="AF59" s="18">
        <f t="shared" si="94"/>
        <v>0</v>
      </c>
      <c r="AG59" s="18">
        <f t="shared" si="94"/>
        <v>0</v>
      </c>
      <c r="AH59" s="18">
        <f t="shared" si="94"/>
        <v>15000</v>
      </c>
      <c r="AI59" s="18">
        <f t="shared" si="94"/>
        <v>100000</v>
      </c>
      <c r="AJ59" s="18">
        <f t="shared" si="94"/>
        <v>0</v>
      </c>
      <c r="AK59" s="18">
        <f t="shared" si="94"/>
        <v>0</v>
      </c>
      <c r="AL59" s="18">
        <f t="shared" ref="AL59:DA59" si="95">SUM(AL60)</f>
        <v>0</v>
      </c>
      <c r="AM59" s="18">
        <f t="shared" si="95"/>
        <v>0</v>
      </c>
      <c r="AN59" s="18">
        <f t="shared" si="95"/>
        <v>10000</v>
      </c>
      <c r="AO59" s="18">
        <f t="shared" si="95"/>
        <v>29682</v>
      </c>
      <c r="AP59" s="18">
        <f t="shared" si="95"/>
        <v>0</v>
      </c>
      <c r="AQ59" s="18"/>
      <c r="AR59" s="18">
        <f t="shared" si="95"/>
        <v>0</v>
      </c>
      <c r="AS59" s="18">
        <f t="shared" si="95"/>
        <v>0</v>
      </c>
      <c r="AT59" s="18">
        <f t="shared" si="95"/>
        <v>0</v>
      </c>
      <c r="AU59" s="18"/>
      <c r="AV59" s="18"/>
      <c r="AW59" s="18">
        <f t="shared" si="95"/>
        <v>0</v>
      </c>
      <c r="AX59" s="18">
        <f t="shared" si="95"/>
        <v>2461538</v>
      </c>
      <c r="AY59" s="18">
        <f t="shared" si="95"/>
        <v>0</v>
      </c>
      <c r="AZ59" s="18"/>
      <c r="BA59" s="18">
        <f t="shared" si="95"/>
        <v>6000</v>
      </c>
      <c r="BB59" s="18">
        <f t="shared" si="95"/>
        <v>2291841</v>
      </c>
      <c r="BC59" s="18">
        <f t="shared" si="95"/>
        <v>0</v>
      </c>
      <c r="BD59" s="18">
        <f t="shared" si="95"/>
        <v>0</v>
      </c>
      <c r="BE59" s="18">
        <f t="shared" si="95"/>
        <v>0</v>
      </c>
      <c r="BF59" s="18">
        <f t="shared" si="95"/>
        <v>0</v>
      </c>
      <c r="BG59" s="18">
        <f t="shared" si="95"/>
        <v>0</v>
      </c>
      <c r="BH59" s="18">
        <f t="shared" si="95"/>
        <v>0</v>
      </c>
      <c r="BI59" s="18">
        <f t="shared" si="95"/>
        <v>0</v>
      </c>
      <c r="BJ59" s="18">
        <f t="shared" si="95"/>
        <v>0</v>
      </c>
      <c r="BK59" s="18">
        <f t="shared" si="95"/>
        <v>0</v>
      </c>
      <c r="BL59" s="18">
        <f t="shared" si="95"/>
        <v>0</v>
      </c>
      <c r="BM59" s="18">
        <f t="shared" si="95"/>
        <v>0</v>
      </c>
      <c r="BN59" s="18">
        <f t="shared" si="95"/>
        <v>0</v>
      </c>
      <c r="BO59" s="18">
        <f t="shared" si="95"/>
        <v>2291841</v>
      </c>
      <c r="BP59" s="18">
        <f t="shared" si="95"/>
        <v>0</v>
      </c>
      <c r="BQ59" s="18">
        <f t="shared" si="95"/>
        <v>0</v>
      </c>
      <c r="BR59" s="18">
        <f t="shared" si="95"/>
        <v>0</v>
      </c>
      <c r="BS59" s="18">
        <f t="shared" si="95"/>
        <v>0</v>
      </c>
      <c r="BT59" s="18">
        <f t="shared" si="95"/>
        <v>0</v>
      </c>
      <c r="BU59" s="18">
        <f t="shared" si="95"/>
        <v>0</v>
      </c>
      <c r="BV59" s="18">
        <f t="shared" si="95"/>
        <v>0</v>
      </c>
      <c r="BW59" s="18">
        <f t="shared" si="95"/>
        <v>0</v>
      </c>
      <c r="BX59" s="18">
        <f t="shared" si="95"/>
        <v>0</v>
      </c>
      <c r="BY59" s="18">
        <f t="shared" si="95"/>
        <v>1492960</v>
      </c>
      <c r="BZ59" s="18">
        <f t="shared" si="95"/>
        <v>798881</v>
      </c>
      <c r="CA59" s="18">
        <f t="shared" si="95"/>
        <v>1464679</v>
      </c>
      <c r="CB59" s="18">
        <f t="shared" si="95"/>
        <v>1464679</v>
      </c>
      <c r="CC59" s="18">
        <f t="shared" si="95"/>
        <v>1464679</v>
      </c>
      <c r="CD59" s="18">
        <f t="shared" si="95"/>
        <v>0</v>
      </c>
      <c r="CE59" s="18">
        <f t="shared" si="95"/>
        <v>1464679</v>
      </c>
      <c r="CF59" s="18">
        <f t="shared" si="95"/>
        <v>0</v>
      </c>
      <c r="CG59" s="18">
        <f t="shared" si="95"/>
        <v>0</v>
      </c>
      <c r="CH59" s="18">
        <f t="shared" si="95"/>
        <v>0</v>
      </c>
      <c r="CI59" s="18">
        <f t="shared" si="95"/>
        <v>0</v>
      </c>
      <c r="CJ59" s="18">
        <f t="shared" si="95"/>
        <v>0</v>
      </c>
      <c r="CK59" s="18">
        <f t="shared" si="95"/>
        <v>0</v>
      </c>
      <c r="CL59" s="18">
        <f t="shared" si="95"/>
        <v>0</v>
      </c>
      <c r="CM59" s="18">
        <f t="shared" si="95"/>
        <v>0</v>
      </c>
      <c r="CN59" s="18">
        <f t="shared" si="95"/>
        <v>0</v>
      </c>
      <c r="CO59" s="18">
        <f t="shared" si="95"/>
        <v>0</v>
      </c>
      <c r="CP59" s="18"/>
      <c r="CQ59" s="18"/>
      <c r="CR59" s="18"/>
      <c r="CS59" s="18"/>
      <c r="CT59" s="18">
        <f t="shared" si="95"/>
        <v>0</v>
      </c>
      <c r="CU59" s="18"/>
      <c r="CV59" s="18"/>
      <c r="CW59" s="18"/>
      <c r="CX59" s="18">
        <f t="shared" si="95"/>
        <v>0</v>
      </c>
      <c r="CY59" s="18">
        <f t="shared" si="95"/>
        <v>0</v>
      </c>
      <c r="CZ59" s="18">
        <f t="shared" si="95"/>
        <v>0</v>
      </c>
      <c r="DA59" s="46">
        <f t="shared" si="95"/>
        <v>0</v>
      </c>
      <c r="DB59" s="85"/>
    </row>
    <row r="60" spans="1:106" ht="15.75" x14ac:dyDescent="0.25">
      <c r="A60" s="72" t="s">
        <v>1</v>
      </c>
      <c r="B60" s="21" t="s">
        <v>145</v>
      </c>
      <c r="C60" s="22" t="s">
        <v>148</v>
      </c>
      <c r="D60" s="18">
        <f>SUM(E60+CA60+CX60)</f>
        <v>49921585</v>
      </c>
      <c r="E60" s="19">
        <f>SUM(F60+BB60)</f>
        <v>48456906</v>
      </c>
      <c r="F60" s="19">
        <f>SUM(G60+H60+I60+P60+S60+T60+U60+AE60)</f>
        <v>46165065</v>
      </c>
      <c r="G60" s="23">
        <v>30171639</v>
      </c>
      <c r="H60" s="23">
        <v>254092</v>
      </c>
      <c r="I60" s="19">
        <f t="shared" si="7"/>
        <v>12897580</v>
      </c>
      <c r="J60" s="23">
        <v>43530</v>
      </c>
      <c r="K60" s="23">
        <v>2030143</v>
      </c>
      <c r="L60" s="23">
        <f>3657072-15000</f>
        <v>3642072</v>
      </c>
      <c r="M60" s="23">
        <v>0</v>
      </c>
      <c r="N60" s="23">
        <v>6415857</v>
      </c>
      <c r="O60" s="23">
        <v>765978</v>
      </c>
      <c r="P60" s="19">
        <f t="shared" si="8"/>
        <v>146216</v>
      </c>
      <c r="Q60" s="23">
        <v>54925</v>
      </c>
      <c r="R60" s="23">
        <v>91291</v>
      </c>
      <c r="S60" s="23">
        <v>0</v>
      </c>
      <c r="T60" s="23">
        <v>62818</v>
      </c>
      <c r="U60" s="19">
        <f>SUM(V60:AC60)</f>
        <v>10500</v>
      </c>
      <c r="V60" s="23">
        <v>10500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f>SUM(AF60:BA60)</f>
        <v>2622220</v>
      </c>
      <c r="AF60" s="19">
        <v>0</v>
      </c>
      <c r="AG60" s="19">
        <v>0</v>
      </c>
      <c r="AH60" s="23">
        <v>15000</v>
      </c>
      <c r="AI60" s="23">
        <f>400000-300000</f>
        <v>100000</v>
      </c>
      <c r="AJ60" s="23">
        <v>0</v>
      </c>
      <c r="AK60" s="23">
        <v>0</v>
      </c>
      <c r="AL60" s="23">
        <v>0</v>
      </c>
      <c r="AM60" s="23">
        <v>0</v>
      </c>
      <c r="AN60" s="23">
        <v>10000</v>
      </c>
      <c r="AO60" s="23">
        <v>29682</v>
      </c>
      <c r="AP60" s="23">
        <v>0</v>
      </c>
      <c r="AQ60" s="23"/>
      <c r="AR60" s="23">
        <v>0</v>
      </c>
      <c r="AS60" s="23">
        <v>0</v>
      </c>
      <c r="AT60" s="23">
        <v>0</v>
      </c>
      <c r="AU60" s="23">
        <v>0</v>
      </c>
      <c r="AV60" s="23">
        <v>0</v>
      </c>
      <c r="AW60" s="23">
        <v>0</v>
      </c>
      <c r="AX60" s="23">
        <f>2711538-250000</f>
        <v>2461538</v>
      </c>
      <c r="AY60" s="23">
        <v>0</v>
      </c>
      <c r="AZ60" s="23">
        <v>0</v>
      </c>
      <c r="BA60" s="23">
        <v>6000</v>
      </c>
      <c r="BB60" s="19">
        <f>SUM(BC60+BG60+BJ60+BL60+BO60)</f>
        <v>2291841</v>
      </c>
      <c r="BC60" s="19">
        <f>SUM(BD60:BF60)</f>
        <v>0</v>
      </c>
      <c r="BD60" s="19">
        <v>0</v>
      </c>
      <c r="BE60" s="19">
        <v>0</v>
      </c>
      <c r="BF60" s="19">
        <v>0</v>
      </c>
      <c r="BG60" s="19">
        <f>SUM(BI60:BI60)</f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f t="shared" si="9"/>
        <v>0</v>
      </c>
      <c r="BM60" s="19">
        <v>0</v>
      </c>
      <c r="BN60" s="19">
        <v>0</v>
      </c>
      <c r="BO60" s="19">
        <f>SUM(BP60:BZ60)</f>
        <v>2291841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23">
        <f>1242960+250000</f>
        <v>1492960</v>
      </c>
      <c r="BZ60" s="23">
        <v>798881</v>
      </c>
      <c r="CA60" s="19">
        <f>SUM(CB60+CT60)</f>
        <v>1464679</v>
      </c>
      <c r="CB60" s="19">
        <f>SUM(CC60+CF60+CL60)</f>
        <v>1464679</v>
      </c>
      <c r="CC60" s="19">
        <f t="shared" si="10"/>
        <v>1464679</v>
      </c>
      <c r="CD60" s="19">
        <v>0</v>
      </c>
      <c r="CE60" s="23">
        <f>1564679-100000</f>
        <v>1464679</v>
      </c>
      <c r="CF60" s="19">
        <f>SUM(CG60:CK60)</f>
        <v>0</v>
      </c>
      <c r="CG60" s="19">
        <v>0</v>
      </c>
      <c r="CH60" s="19">
        <v>0</v>
      </c>
      <c r="CI60" s="19">
        <v>0</v>
      </c>
      <c r="CJ60" s="19">
        <v>0</v>
      </c>
      <c r="CK60" s="19">
        <v>0</v>
      </c>
      <c r="CL60" s="19">
        <f>SUM(CM60:CQ60)</f>
        <v>0</v>
      </c>
      <c r="CM60" s="19">
        <v>0</v>
      </c>
      <c r="CN60" s="19">
        <v>0</v>
      </c>
      <c r="CO60" s="23"/>
      <c r="CP60" s="19"/>
      <c r="CQ60" s="19"/>
      <c r="CR60" s="19"/>
      <c r="CS60" s="19"/>
      <c r="CT60" s="19">
        <v>0</v>
      </c>
      <c r="CU60" s="19"/>
      <c r="CV60" s="19"/>
      <c r="CW60" s="19"/>
      <c r="CX60" s="19">
        <f t="shared" si="11"/>
        <v>0</v>
      </c>
      <c r="CY60" s="19">
        <f t="shared" si="12"/>
        <v>0</v>
      </c>
      <c r="CZ60" s="19">
        <v>0</v>
      </c>
      <c r="DA60" s="20">
        <v>0</v>
      </c>
    </row>
    <row r="61" spans="1:106" s="86" customFormat="1" ht="47.25" x14ac:dyDescent="0.25">
      <c r="A61" s="73" t="s">
        <v>149</v>
      </c>
      <c r="B61" s="25" t="s">
        <v>1</v>
      </c>
      <c r="C61" s="26" t="s">
        <v>150</v>
      </c>
      <c r="D61" s="27">
        <f>SUM(D62+D64+D67+D69+D71+D73+D77+D75)</f>
        <v>757918019</v>
      </c>
      <c r="E61" s="27">
        <f t="shared" ref="E61:BP61" si="96">SUM(E62+E64+E67+E69+E71+E73+E77+E75)</f>
        <v>727125921</v>
      </c>
      <c r="F61" s="27">
        <f t="shared" si="96"/>
        <v>723483822</v>
      </c>
      <c r="G61" s="27">
        <f t="shared" si="96"/>
        <v>508086384</v>
      </c>
      <c r="H61" s="27">
        <f t="shared" si="96"/>
        <v>21112270</v>
      </c>
      <c r="I61" s="27">
        <f t="shared" si="96"/>
        <v>102851722</v>
      </c>
      <c r="J61" s="27">
        <f t="shared" si="96"/>
        <v>1446077</v>
      </c>
      <c r="K61" s="27">
        <f t="shared" si="96"/>
        <v>28451131</v>
      </c>
      <c r="L61" s="27">
        <f t="shared" si="96"/>
        <v>24758631</v>
      </c>
      <c r="M61" s="27">
        <f t="shared" si="96"/>
        <v>445869</v>
      </c>
      <c r="N61" s="27">
        <f t="shared" si="96"/>
        <v>36557896</v>
      </c>
      <c r="O61" s="27">
        <f t="shared" si="96"/>
        <v>11192118</v>
      </c>
      <c r="P61" s="27">
        <f t="shared" si="96"/>
        <v>6763004</v>
      </c>
      <c r="Q61" s="27">
        <f t="shared" si="96"/>
        <v>156217</v>
      </c>
      <c r="R61" s="27">
        <f t="shared" si="96"/>
        <v>6606787</v>
      </c>
      <c r="S61" s="27">
        <f t="shared" si="96"/>
        <v>97358</v>
      </c>
      <c r="T61" s="27">
        <f t="shared" si="96"/>
        <v>5278036</v>
      </c>
      <c r="U61" s="27">
        <f t="shared" si="96"/>
        <v>19174133</v>
      </c>
      <c r="V61" s="27">
        <f t="shared" si="96"/>
        <v>1659858</v>
      </c>
      <c r="W61" s="27">
        <f t="shared" si="96"/>
        <v>3290244</v>
      </c>
      <c r="X61" s="27">
        <f t="shared" si="96"/>
        <v>8761995</v>
      </c>
      <c r="Y61" s="27">
        <f t="shared" si="96"/>
        <v>4021031</v>
      </c>
      <c r="Z61" s="27">
        <f t="shared" si="96"/>
        <v>451884</v>
      </c>
      <c r="AA61" s="27">
        <f t="shared" si="96"/>
        <v>302722</v>
      </c>
      <c r="AB61" s="27">
        <f t="shared" si="96"/>
        <v>0</v>
      </c>
      <c r="AC61" s="27">
        <f t="shared" si="96"/>
        <v>686399</v>
      </c>
      <c r="AD61" s="27">
        <f t="shared" ref="AD61" si="97">SUM(AD62+AD64+AD67+AD69+AD71+AD73+AD77+AD75)</f>
        <v>0</v>
      </c>
      <c r="AE61" s="27">
        <f t="shared" si="96"/>
        <v>60120915</v>
      </c>
      <c r="AF61" s="27">
        <f t="shared" si="96"/>
        <v>0</v>
      </c>
      <c r="AG61" s="27">
        <f t="shared" si="96"/>
        <v>0</v>
      </c>
      <c r="AH61" s="27">
        <f t="shared" si="96"/>
        <v>368798</v>
      </c>
      <c r="AI61" s="27">
        <f t="shared" si="96"/>
        <v>1874557</v>
      </c>
      <c r="AJ61" s="27">
        <f t="shared" si="96"/>
        <v>0</v>
      </c>
      <c r="AK61" s="27">
        <f t="shared" si="96"/>
        <v>13339</v>
      </c>
      <c r="AL61" s="27">
        <f t="shared" si="96"/>
        <v>119481</v>
      </c>
      <c r="AM61" s="27">
        <f t="shared" si="96"/>
        <v>35161</v>
      </c>
      <c r="AN61" s="27">
        <f t="shared" si="96"/>
        <v>1670462</v>
      </c>
      <c r="AO61" s="27">
        <f t="shared" si="96"/>
        <v>159828</v>
      </c>
      <c r="AP61" s="27">
        <f t="shared" si="96"/>
        <v>8620</v>
      </c>
      <c r="AQ61" s="27"/>
      <c r="AR61" s="27">
        <f t="shared" si="96"/>
        <v>4999768</v>
      </c>
      <c r="AS61" s="27">
        <f t="shared" si="96"/>
        <v>2078825</v>
      </c>
      <c r="AT61" s="27">
        <f t="shared" si="96"/>
        <v>148800</v>
      </c>
      <c r="AU61" s="27"/>
      <c r="AV61" s="27"/>
      <c r="AW61" s="27">
        <f t="shared" si="96"/>
        <v>0</v>
      </c>
      <c r="AX61" s="27">
        <f t="shared" si="96"/>
        <v>39475586</v>
      </c>
      <c r="AY61" s="27">
        <f t="shared" si="96"/>
        <v>613422</v>
      </c>
      <c r="AZ61" s="27">
        <f t="shared" si="96"/>
        <v>1049723</v>
      </c>
      <c r="BA61" s="27">
        <f t="shared" si="96"/>
        <v>7504545</v>
      </c>
      <c r="BB61" s="27">
        <f t="shared" si="96"/>
        <v>3642099</v>
      </c>
      <c r="BC61" s="27">
        <f t="shared" si="96"/>
        <v>0</v>
      </c>
      <c r="BD61" s="27">
        <f t="shared" si="96"/>
        <v>0</v>
      </c>
      <c r="BE61" s="27">
        <f t="shared" si="96"/>
        <v>0</v>
      </c>
      <c r="BF61" s="27">
        <f t="shared" si="96"/>
        <v>0</v>
      </c>
      <c r="BG61" s="27">
        <f t="shared" si="96"/>
        <v>0</v>
      </c>
      <c r="BH61" s="27">
        <f t="shared" si="96"/>
        <v>0</v>
      </c>
      <c r="BI61" s="27">
        <f t="shared" si="96"/>
        <v>0</v>
      </c>
      <c r="BJ61" s="27">
        <f t="shared" si="96"/>
        <v>0</v>
      </c>
      <c r="BK61" s="27">
        <f t="shared" ref="BK61" si="98">SUM(BK62+BK64+BK67+BK69+BK71+BK73+BK77+BK75)</f>
        <v>0</v>
      </c>
      <c r="BL61" s="27">
        <f t="shared" si="96"/>
        <v>975854</v>
      </c>
      <c r="BM61" s="27">
        <f t="shared" si="96"/>
        <v>975854</v>
      </c>
      <c r="BN61" s="27">
        <f t="shared" ref="BN61" si="99">SUM(BN62+BN64+BN67+BN69+BN71+BN73+BN77+BN75)</f>
        <v>0</v>
      </c>
      <c r="BO61" s="27">
        <f t="shared" si="96"/>
        <v>2666245</v>
      </c>
      <c r="BP61" s="27">
        <f t="shared" si="96"/>
        <v>0</v>
      </c>
      <c r="BQ61" s="27">
        <f t="shared" ref="BQ61:DA61" si="100">SUM(BQ62+BQ64+BQ67+BQ69+BQ71+BQ73+BQ77+BQ75)</f>
        <v>0</v>
      </c>
      <c r="BR61" s="27">
        <f t="shared" si="100"/>
        <v>3124</v>
      </c>
      <c r="BS61" s="27">
        <f t="shared" si="100"/>
        <v>0</v>
      </c>
      <c r="BT61" s="27">
        <f t="shared" si="100"/>
        <v>0</v>
      </c>
      <c r="BU61" s="27">
        <f t="shared" si="100"/>
        <v>0</v>
      </c>
      <c r="BV61" s="27">
        <f t="shared" si="100"/>
        <v>0</v>
      </c>
      <c r="BW61" s="27">
        <f t="shared" si="100"/>
        <v>0</v>
      </c>
      <c r="BX61" s="27">
        <f t="shared" si="100"/>
        <v>0</v>
      </c>
      <c r="BY61" s="27">
        <f t="shared" si="100"/>
        <v>1690490</v>
      </c>
      <c r="BZ61" s="27">
        <f t="shared" si="100"/>
        <v>972631</v>
      </c>
      <c r="CA61" s="27">
        <f t="shared" si="100"/>
        <v>30792098</v>
      </c>
      <c r="CB61" s="27">
        <f t="shared" si="100"/>
        <v>25792098</v>
      </c>
      <c r="CC61" s="27">
        <f t="shared" si="100"/>
        <v>13943899</v>
      </c>
      <c r="CD61" s="27">
        <f t="shared" si="100"/>
        <v>0</v>
      </c>
      <c r="CE61" s="27">
        <f t="shared" si="100"/>
        <v>13943899</v>
      </c>
      <c r="CF61" s="27">
        <f t="shared" si="100"/>
        <v>4383254</v>
      </c>
      <c r="CG61" s="27">
        <f t="shared" si="100"/>
        <v>0</v>
      </c>
      <c r="CH61" s="27">
        <f t="shared" ref="CH61:CI61" si="101">SUM(CH62+CH64+CH67+CH69+CH71+CH73+CH77+CH75)</f>
        <v>0</v>
      </c>
      <c r="CI61" s="27">
        <f t="shared" si="101"/>
        <v>3583254</v>
      </c>
      <c r="CJ61" s="27">
        <f t="shared" si="100"/>
        <v>0</v>
      </c>
      <c r="CK61" s="27">
        <f t="shared" ref="CK61" si="102">SUM(CK62+CK64+CK67+CK69+CK71+CK73+CK77+CK75)</f>
        <v>800000</v>
      </c>
      <c r="CL61" s="27">
        <f t="shared" si="100"/>
        <v>7464945</v>
      </c>
      <c r="CM61" s="27">
        <f t="shared" si="100"/>
        <v>0</v>
      </c>
      <c r="CN61" s="27">
        <f t="shared" ref="CN61" si="103">SUM(CN62+CN64+CN67+CN69+CN71+CN73+CN77+CN75)</f>
        <v>442696</v>
      </c>
      <c r="CO61" s="27">
        <f t="shared" si="100"/>
        <v>7022249</v>
      </c>
      <c r="CP61" s="27"/>
      <c r="CQ61" s="27"/>
      <c r="CR61" s="27"/>
      <c r="CS61" s="27"/>
      <c r="CT61" s="27">
        <f t="shared" si="100"/>
        <v>5000000</v>
      </c>
      <c r="CU61" s="27"/>
      <c r="CV61" s="27"/>
      <c r="CW61" s="27"/>
      <c r="CX61" s="27">
        <f t="shared" si="100"/>
        <v>0</v>
      </c>
      <c r="CY61" s="27">
        <f t="shared" si="100"/>
        <v>0</v>
      </c>
      <c r="CZ61" s="27">
        <f t="shared" si="100"/>
        <v>0</v>
      </c>
      <c r="DA61" s="55">
        <f t="shared" si="100"/>
        <v>0</v>
      </c>
      <c r="DB61" s="85"/>
    </row>
    <row r="62" spans="1:106" s="86" customFormat="1" ht="15.75" x14ac:dyDescent="0.25">
      <c r="A62" s="71" t="s">
        <v>151</v>
      </c>
      <c r="B62" s="16" t="s">
        <v>1</v>
      </c>
      <c r="C62" s="17" t="s">
        <v>152</v>
      </c>
      <c r="D62" s="18">
        <f t="shared" ref="D62:BR62" si="104">SUM(D63)</f>
        <v>329937100</v>
      </c>
      <c r="E62" s="18">
        <f t="shared" si="104"/>
        <v>314121238</v>
      </c>
      <c r="F62" s="18">
        <f t="shared" si="104"/>
        <v>313286854</v>
      </c>
      <c r="G62" s="18">
        <f t="shared" si="104"/>
        <v>222705064</v>
      </c>
      <c r="H62" s="18">
        <f t="shared" si="104"/>
        <v>12774584</v>
      </c>
      <c r="I62" s="18">
        <f t="shared" si="104"/>
        <v>44651570</v>
      </c>
      <c r="J62" s="18">
        <f t="shared" si="104"/>
        <v>346230</v>
      </c>
      <c r="K62" s="18">
        <f t="shared" si="104"/>
        <v>14093393</v>
      </c>
      <c r="L62" s="18">
        <f t="shared" si="104"/>
        <v>4906433</v>
      </c>
      <c r="M62" s="18">
        <f t="shared" si="104"/>
        <v>0</v>
      </c>
      <c r="N62" s="18">
        <f t="shared" si="104"/>
        <v>18469620</v>
      </c>
      <c r="O62" s="18">
        <f t="shared" si="104"/>
        <v>6835894</v>
      </c>
      <c r="P62" s="18">
        <f t="shared" si="104"/>
        <v>45680</v>
      </c>
      <c r="Q62" s="18">
        <f t="shared" si="104"/>
        <v>45680</v>
      </c>
      <c r="R62" s="18">
        <f t="shared" si="104"/>
        <v>0</v>
      </c>
      <c r="S62" s="18">
        <f t="shared" si="104"/>
        <v>60704</v>
      </c>
      <c r="T62" s="18">
        <f t="shared" si="104"/>
        <v>3456952</v>
      </c>
      <c r="U62" s="18">
        <f t="shared" si="104"/>
        <v>6372471</v>
      </c>
      <c r="V62" s="18">
        <f t="shared" si="104"/>
        <v>192729</v>
      </c>
      <c r="W62" s="18">
        <f t="shared" si="104"/>
        <v>2297265</v>
      </c>
      <c r="X62" s="18">
        <f t="shared" si="104"/>
        <v>2729722</v>
      </c>
      <c r="Y62" s="18">
        <f t="shared" si="104"/>
        <v>853180</v>
      </c>
      <c r="Z62" s="18">
        <f t="shared" si="104"/>
        <v>130674</v>
      </c>
      <c r="AA62" s="18">
        <f t="shared" si="104"/>
        <v>49800</v>
      </c>
      <c r="AB62" s="18">
        <f t="shared" si="104"/>
        <v>0</v>
      </c>
      <c r="AC62" s="18">
        <f t="shared" si="104"/>
        <v>119101</v>
      </c>
      <c r="AD62" s="18">
        <f t="shared" si="104"/>
        <v>0</v>
      </c>
      <c r="AE62" s="18">
        <f t="shared" si="104"/>
        <v>23219829</v>
      </c>
      <c r="AF62" s="18">
        <f t="shared" si="104"/>
        <v>0</v>
      </c>
      <c r="AG62" s="18">
        <f t="shared" si="104"/>
        <v>0</v>
      </c>
      <c r="AH62" s="18">
        <f t="shared" si="104"/>
        <v>109366</v>
      </c>
      <c r="AI62" s="18">
        <f t="shared" si="104"/>
        <v>238664</v>
      </c>
      <c r="AJ62" s="18">
        <f t="shared" si="104"/>
        <v>0</v>
      </c>
      <c r="AK62" s="18">
        <f t="shared" si="104"/>
        <v>0</v>
      </c>
      <c r="AL62" s="18">
        <f t="shared" si="104"/>
        <v>6500</v>
      </c>
      <c r="AM62" s="18">
        <f t="shared" si="104"/>
        <v>24030</v>
      </c>
      <c r="AN62" s="18">
        <f t="shared" si="104"/>
        <v>1300000</v>
      </c>
      <c r="AO62" s="18">
        <f t="shared" si="104"/>
        <v>18042</v>
      </c>
      <c r="AP62" s="18">
        <f t="shared" si="104"/>
        <v>6900</v>
      </c>
      <c r="AQ62" s="18"/>
      <c r="AR62" s="18">
        <f t="shared" si="104"/>
        <v>4255164</v>
      </c>
      <c r="AS62" s="18">
        <f t="shared" si="104"/>
        <v>1504383</v>
      </c>
      <c r="AT62" s="18">
        <f t="shared" si="104"/>
        <v>96000</v>
      </c>
      <c r="AU62" s="18"/>
      <c r="AV62" s="18"/>
      <c r="AW62" s="18">
        <f t="shared" si="104"/>
        <v>0</v>
      </c>
      <c r="AX62" s="18">
        <f t="shared" si="104"/>
        <v>9536059</v>
      </c>
      <c r="AY62" s="18">
        <f t="shared" si="104"/>
        <v>130273</v>
      </c>
      <c r="AZ62" s="18">
        <f t="shared" si="104"/>
        <v>0</v>
      </c>
      <c r="BA62" s="18">
        <f t="shared" si="104"/>
        <v>5994448</v>
      </c>
      <c r="BB62" s="18">
        <f t="shared" si="104"/>
        <v>834384</v>
      </c>
      <c r="BC62" s="18">
        <f t="shared" si="104"/>
        <v>0</v>
      </c>
      <c r="BD62" s="18">
        <f t="shared" si="104"/>
        <v>0</v>
      </c>
      <c r="BE62" s="18">
        <f t="shared" si="104"/>
        <v>0</v>
      </c>
      <c r="BF62" s="18">
        <f t="shared" si="104"/>
        <v>0</v>
      </c>
      <c r="BG62" s="18">
        <f t="shared" si="104"/>
        <v>0</v>
      </c>
      <c r="BH62" s="18">
        <f t="shared" si="104"/>
        <v>0</v>
      </c>
      <c r="BI62" s="18">
        <f t="shared" si="104"/>
        <v>0</v>
      </c>
      <c r="BJ62" s="18">
        <f t="shared" si="104"/>
        <v>0</v>
      </c>
      <c r="BK62" s="18">
        <f t="shared" si="104"/>
        <v>0</v>
      </c>
      <c r="BL62" s="18">
        <f t="shared" si="104"/>
        <v>304566</v>
      </c>
      <c r="BM62" s="18">
        <f t="shared" si="104"/>
        <v>304566</v>
      </c>
      <c r="BN62" s="18">
        <f t="shared" si="104"/>
        <v>0</v>
      </c>
      <c r="BO62" s="18">
        <f t="shared" si="104"/>
        <v>529818</v>
      </c>
      <c r="BP62" s="18">
        <f t="shared" si="104"/>
        <v>0</v>
      </c>
      <c r="BQ62" s="18">
        <f t="shared" si="104"/>
        <v>0</v>
      </c>
      <c r="BR62" s="18">
        <f t="shared" si="104"/>
        <v>3124</v>
      </c>
      <c r="BS62" s="18">
        <f t="shared" ref="BS62:DA62" si="105">SUM(BS63)</f>
        <v>0</v>
      </c>
      <c r="BT62" s="18">
        <f t="shared" si="105"/>
        <v>0</v>
      </c>
      <c r="BU62" s="18">
        <f t="shared" si="105"/>
        <v>0</v>
      </c>
      <c r="BV62" s="18">
        <f t="shared" si="105"/>
        <v>0</v>
      </c>
      <c r="BW62" s="18">
        <f t="shared" si="105"/>
        <v>0</v>
      </c>
      <c r="BX62" s="18">
        <f t="shared" si="105"/>
        <v>0</v>
      </c>
      <c r="BY62" s="18">
        <f t="shared" si="105"/>
        <v>494422</v>
      </c>
      <c r="BZ62" s="18">
        <f t="shared" si="105"/>
        <v>32272</v>
      </c>
      <c r="CA62" s="18">
        <f t="shared" si="105"/>
        <v>15815862</v>
      </c>
      <c r="CB62" s="18">
        <f t="shared" si="105"/>
        <v>10815862</v>
      </c>
      <c r="CC62" s="18">
        <f t="shared" si="105"/>
        <v>6742197</v>
      </c>
      <c r="CD62" s="18">
        <f t="shared" si="105"/>
        <v>0</v>
      </c>
      <c r="CE62" s="18">
        <f t="shared" si="105"/>
        <v>6742197</v>
      </c>
      <c r="CF62" s="18">
        <f t="shared" si="105"/>
        <v>194583</v>
      </c>
      <c r="CG62" s="18">
        <f t="shared" si="105"/>
        <v>0</v>
      </c>
      <c r="CH62" s="18">
        <f t="shared" si="105"/>
        <v>0</v>
      </c>
      <c r="CI62" s="18">
        <f t="shared" si="105"/>
        <v>194583</v>
      </c>
      <c r="CJ62" s="18">
        <f t="shared" si="105"/>
        <v>0</v>
      </c>
      <c r="CK62" s="18">
        <f t="shared" si="105"/>
        <v>0</v>
      </c>
      <c r="CL62" s="18">
        <f t="shared" si="105"/>
        <v>3879082</v>
      </c>
      <c r="CM62" s="18">
        <f t="shared" si="105"/>
        <v>0</v>
      </c>
      <c r="CN62" s="18">
        <f t="shared" si="105"/>
        <v>442696</v>
      </c>
      <c r="CO62" s="18">
        <f t="shared" si="105"/>
        <v>3436386</v>
      </c>
      <c r="CP62" s="18"/>
      <c r="CQ62" s="18"/>
      <c r="CR62" s="18"/>
      <c r="CS62" s="18"/>
      <c r="CT62" s="18">
        <f t="shared" si="105"/>
        <v>5000000</v>
      </c>
      <c r="CU62" s="18"/>
      <c r="CV62" s="18"/>
      <c r="CW62" s="18"/>
      <c r="CX62" s="18">
        <f t="shared" si="105"/>
        <v>0</v>
      </c>
      <c r="CY62" s="18">
        <f t="shared" si="105"/>
        <v>0</v>
      </c>
      <c r="CZ62" s="18">
        <f t="shared" si="105"/>
        <v>0</v>
      </c>
      <c r="DA62" s="46">
        <f t="shared" si="105"/>
        <v>0</v>
      </c>
      <c r="DB62" s="85"/>
    </row>
    <row r="63" spans="1:106" ht="15.75" x14ac:dyDescent="0.25">
      <c r="A63" s="72" t="s">
        <v>1</v>
      </c>
      <c r="B63" s="21" t="s">
        <v>153</v>
      </c>
      <c r="C63" s="22" t="s">
        <v>154</v>
      </c>
      <c r="D63" s="18">
        <f>SUM(E63+CA63+CX63)</f>
        <v>329937100</v>
      </c>
      <c r="E63" s="19">
        <f>SUM(F63+BB63)</f>
        <v>314121238</v>
      </c>
      <c r="F63" s="19">
        <f>SUM(G63+H63+I63+P63+S63+T63+U63+AE63)</f>
        <v>313286854</v>
      </c>
      <c r="G63" s="23">
        <f>221644915+1060149</f>
        <v>222705064</v>
      </c>
      <c r="H63" s="23">
        <f>13107444-332860</f>
        <v>12774584</v>
      </c>
      <c r="I63" s="19">
        <f t="shared" si="7"/>
        <v>44651570</v>
      </c>
      <c r="J63" s="23">
        <v>346230</v>
      </c>
      <c r="K63" s="23">
        <f>13894743+198650</f>
        <v>14093393</v>
      </c>
      <c r="L63" s="23">
        <f>6172453-1266020</f>
        <v>4906433</v>
      </c>
      <c r="M63" s="23">
        <v>0</v>
      </c>
      <c r="N63" s="23">
        <f>18042749+426871</f>
        <v>18469620</v>
      </c>
      <c r="O63" s="23">
        <f>5282180+142076+1411638</f>
        <v>6835894</v>
      </c>
      <c r="P63" s="19">
        <f t="shared" si="8"/>
        <v>45680</v>
      </c>
      <c r="Q63" s="23">
        <v>45680</v>
      </c>
      <c r="R63" s="23">
        <v>0</v>
      </c>
      <c r="S63" s="23">
        <v>60704</v>
      </c>
      <c r="T63" s="23">
        <v>3456952</v>
      </c>
      <c r="U63" s="19">
        <f>SUM(V63:AC63)</f>
        <v>6372471</v>
      </c>
      <c r="V63" s="23">
        <v>192729</v>
      </c>
      <c r="W63" s="23">
        <f>2153951+5670+137644</f>
        <v>2297265</v>
      </c>
      <c r="X63" s="23">
        <f>2839636-109914</f>
        <v>2729722</v>
      </c>
      <c r="Y63" s="23">
        <f>815650+37530</f>
        <v>853180</v>
      </c>
      <c r="Z63" s="23">
        <v>130674</v>
      </c>
      <c r="AA63" s="23">
        <v>49800</v>
      </c>
      <c r="AB63" s="23">
        <v>0</v>
      </c>
      <c r="AC63" s="23">
        <f>114077+5024</f>
        <v>119101</v>
      </c>
      <c r="AD63" s="19">
        <v>0</v>
      </c>
      <c r="AE63" s="19">
        <f>SUM(AF63:BA63)</f>
        <v>23219829</v>
      </c>
      <c r="AF63" s="19">
        <v>0</v>
      </c>
      <c r="AG63" s="19">
        <v>0</v>
      </c>
      <c r="AH63" s="23">
        <v>109366</v>
      </c>
      <c r="AI63" s="23">
        <v>238664</v>
      </c>
      <c r="AJ63" s="23">
        <v>0</v>
      </c>
      <c r="AK63" s="23">
        <v>0</v>
      </c>
      <c r="AL63" s="23">
        <v>6500</v>
      </c>
      <c r="AM63" s="23">
        <v>24030</v>
      </c>
      <c r="AN63" s="23">
        <v>1300000</v>
      </c>
      <c r="AO63" s="23">
        <v>18042</v>
      </c>
      <c r="AP63" s="23">
        <v>6900</v>
      </c>
      <c r="AQ63" s="23"/>
      <c r="AR63" s="23">
        <v>4255164</v>
      </c>
      <c r="AS63" s="23">
        <v>1504383</v>
      </c>
      <c r="AT63" s="23">
        <v>96000</v>
      </c>
      <c r="AU63" s="23">
        <v>0</v>
      </c>
      <c r="AV63" s="23">
        <v>0</v>
      </c>
      <c r="AW63" s="23">
        <v>0</v>
      </c>
      <c r="AX63" s="23">
        <f>10263348-727289</f>
        <v>9536059</v>
      </c>
      <c r="AY63" s="23">
        <f>265344-135071</f>
        <v>130273</v>
      </c>
      <c r="AZ63" s="23">
        <v>0</v>
      </c>
      <c r="BA63" s="23">
        <v>5994448</v>
      </c>
      <c r="BB63" s="19">
        <f>SUM(BC63+BG63+BJ63+BL63+BO63)</f>
        <v>834384</v>
      </c>
      <c r="BC63" s="19">
        <f>SUM(BD63:BF63)</f>
        <v>0</v>
      </c>
      <c r="BD63" s="19">
        <v>0</v>
      </c>
      <c r="BE63" s="19">
        <v>0</v>
      </c>
      <c r="BF63" s="19">
        <v>0</v>
      </c>
      <c r="BG63" s="19">
        <f>SUM(BI63:BI63)</f>
        <v>0</v>
      </c>
      <c r="BH63" s="19">
        <v>0</v>
      </c>
      <c r="BI63" s="19">
        <v>0</v>
      </c>
      <c r="BJ63" s="19">
        <v>0</v>
      </c>
      <c r="BK63" s="19"/>
      <c r="BL63" s="19">
        <f t="shared" si="9"/>
        <v>304566</v>
      </c>
      <c r="BM63" s="19">
        <v>304566</v>
      </c>
      <c r="BN63" s="19"/>
      <c r="BO63" s="19">
        <f>SUM(BP63:BZ63)</f>
        <v>529818</v>
      </c>
      <c r="BP63" s="19">
        <v>0</v>
      </c>
      <c r="BQ63" s="19">
        <v>0</v>
      </c>
      <c r="BR63" s="23">
        <f>13671-10547</f>
        <v>3124</v>
      </c>
      <c r="BS63" s="19">
        <v>0</v>
      </c>
      <c r="BT63" s="19">
        <v>0</v>
      </c>
      <c r="BU63" s="19">
        <v>0</v>
      </c>
      <c r="BV63" s="19">
        <v>0</v>
      </c>
      <c r="BW63" s="19">
        <v>0</v>
      </c>
      <c r="BX63" s="19">
        <v>0</v>
      </c>
      <c r="BY63" s="23">
        <v>494422</v>
      </c>
      <c r="BZ63" s="23">
        <v>32272</v>
      </c>
      <c r="CA63" s="19">
        <f>SUM(CB63+CT63)</f>
        <v>15815862</v>
      </c>
      <c r="CB63" s="19">
        <f>SUM(CC63+CF63+CL63)</f>
        <v>10815862</v>
      </c>
      <c r="CC63" s="19">
        <f t="shared" si="10"/>
        <v>6742197</v>
      </c>
      <c r="CD63" s="19">
        <v>0</v>
      </c>
      <c r="CE63" s="23">
        <f>6528329+284152-70284</f>
        <v>6742197</v>
      </c>
      <c r="CF63" s="19">
        <f>SUM(CG63:CK63)</f>
        <v>194583</v>
      </c>
      <c r="CG63" s="19">
        <v>0</v>
      </c>
      <c r="CH63" s="19">
        <v>0</v>
      </c>
      <c r="CI63" s="23">
        <v>194583</v>
      </c>
      <c r="CJ63" s="23"/>
      <c r="CK63" s="23"/>
      <c r="CL63" s="19">
        <f>SUM(CM63:CQ63)</f>
        <v>3879082</v>
      </c>
      <c r="CM63" s="23"/>
      <c r="CN63" s="23">
        <v>442696</v>
      </c>
      <c r="CO63" s="50">
        <v>3436386</v>
      </c>
      <c r="CP63" s="19"/>
      <c r="CQ63" s="19"/>
      <c r="CR63" s="19"/>
      <c r="CS63" s="19"/>
      <c r="CT63" s="19">
        <v>5000000</v>
      </c>
      <c r="CU63" s="19"/>
      <c r="CV63" s="19"/>
      <c r="CW63" s="19"/>
      <c r="CX63" s="19">
        <f t="shared" si="11"/>
        <v>0</v>
      </c>
      <c r="CY63" s="19">
        <f t="shared" si="12"/>
        <v>0</v>
      </c>
      <c r="CZ63" s="19">
        <v>0</v>
      </c>
      <c r="DA63" s="20">
        <v>0</v>
      </c>
    </row>
    <row r="64" spans="1:106" s="86" customFormat="1" ht="31.5" x14ac:dyDescent="0.25">
      <c r="A64" s="71" t="s">
        <v>155</v>
      </c>
      <c r="B64" s="16" t="s">
        <v>1</v>
      </c>
      <c r="C64" s="17" t="s">
        <v>356</v>
      </c>
      <c r="D64" s="18">
        <f>SUM(D65:D66)</f>
        <v>120543609</v>
      </c>
      <c r="E64" s="18">
        <f t="shared" ref="E64:BU64" si="106">SUM(E65:E66)</f>
        <v>116795334</v>
      </c>
      <c r="F64" s="18">
        <f t="shared" si="106"/>
        <v>116122668</v>
      </c>
      <c r="G64" s="18">
        <f t="shared" si="106"/>
        <v>68954057</v>
      </c>
      <c r="H64" s="18">
        <f t="shared" si="106"/>
        <v>2781236</v>
      </c>
      <c r="I64" s="18">
        <f t="shared" si="106"/>
        <v>30597532</v>
      </c>
      <c r="J64" s="18">
        <f t="shared" si="106"/>
        <v>716844</v>
      </c>
      <c r="K64" s="18">
        <f t="shared" si="106"/>
        <v>6266735</v>
      </c>
      <c r="L64" s="18">
        <f t="shared" si="106"/>
        <v>18633739</v>
      </c>
      <c r="M64" s="18">
        <f t="shared" si="106"/>
        <v>0</v>
      </c>
      <c r="N64" s="18">
        <f t="shared" si="106"/>
        <v>3783177</v>
      </c>
      <c r="O64" s="18">
        <f t="shared" si="106"/>
        <v>1197037</v>
      </c>
      <c r="P64" s="18">
        <f t="shared" si="106"/>
        <v>3130</v>
      </c>
      <c r="Q64" s="18">
        <f t="shared" si="106"/>
        <v>3130</v>
      </c>
      <c r="R64" s="18">
        <f t="shared" si="106"/>
        <v>0</v>
      </c>
      <c r="S64" s="18">
        <f t="shared" si="106"/>
        <v>0</v>
      </c>
      <c r="T64" s="18">
        <f t="shared" si="106"/>
        <v>445384</v>
      </c>
      <c r="U64" s="18">
        <f t="shared" si="106"/>
        <v>8387125</v>
      </c>
      <c r="V64" s="18">
        <f t="shared" si="106"/>
        <v>877013</v>
      </c>
      <c r="W64" s="18">
        <f t="shared" si="106"/>
        <v>64179</v>
      </c>
      <c r="X64" s="18">
        <f t="shared" si="106"/>
        <v>3875355</v>
      </c>
      <c r="Y64" s="18">
        <f t="shared" si="106"/>
        <v>2898920</v>
      </c>
      <c r="Z64" s="18">
        <f t="shared" si="106"/>
        <v>181454</v>
      </c>
      <c r="AA64" s="18">
        <f t="shared" si="106"/>
        <v>42233</v>
      </c>
      <c r="AB64" s="18">
        <f t="shared" si="106"/>
        <v>0</v>
      </c>
      <c r="AC64" s="18">
        <f t="shared" si="106"/>
        <v>447971</v>
      </c>
      <c r="AD64" s="18">
        <f t="shared" ref="AD64" si="107">SUM(AD65:AD66)</f>
        <v>0</v>
      </c>
      <c r="AE64" s="18">
        <f t="shared" si="106"/>
        <v>4954204</v>
      </c>
      <c r="AF64" s="18">
        <f t="shared" si="106"/>
        <v>0</v>
      </c>
      <c r="AG64" s="18">
        <f t="shared" si="106"/>
        <v>0</v>
      </c>
      <c r="AH64" s="18">
        <f t="shared" si="106"/>
        <v>6936</v>
      </c>
      <c r="AI64" s="18">
        <f t="shared" si="106"/>
        <v>687137</v>
      </c>
      <c r="AJ64" s="18">
        <f t="shared" si="106"/>
        <v>0</v>
      </c>
      <c r="AK64" s="18">
        <f t="shared" si="106"/>
        <v>0</v>
      </c>
      <c r="AL64" s="18">
        <f t="shared" si="106"/>
        <v>37979</v>
      </c>
      <c r="AM64" s="18">
        <f t="shared" si="106"/>
        <v>0</v>
      </c>
      <c r="AN64" s="18">
        <f t="shared" si="106"/>
        <v>82025</v>
      </c>
      <c r="AO64" s="18">
        <f t="shared" si="106"/>
        <v>13386</v>
      </c>
      <c r="AP64" s="18">
        <f t="shared" si="106"/>
        <v>0</v>
      </c>
      <c r="AQ64" s="18"/>
      <c r="AR64" s="18">
        <f t="shared" si="106"/>
        <v>399815</v>
      </c>
      <c r="AS64" s="18">
        <f t="shared" si="106"/>
        <v>138774</v>
      </c>
      <c r="AT64" s="18">
        <f t="shared" si="106"/>
        <v>0</v>
      </c>
      <c r="AU64" s="18"/>
      <c r="AV64" s="18"/>
      <c r="AW64" s="18">
        <f t="shared" si="106"/>
        <v>0</v>
      </c>
      <c r="AX64" s="18">
        <f t="shared" si="106"/>
        <v>3261009</v>
      </c>
      <c r="AY64" s="18">
        <f t="shared" si="106"/>
        <v>130469</v>
      </c>
      <c r="AZ64" s="18"/>
      <c r="BA64" s="18">
        <f t="shared" si="106"/>
        <v>196674</v>
      </c>
      <c r="BB64" s="18">
        <f t="shared" si="106"/>
        <v>672666</v>
      </c>
      <c r="BC64" s="18">
        <f t="shared" si="106"/>
        <v>0</v>
      </c>
      <c r="BD64" s="18">
        <f t="shared" si="106"/>
        <v>0</v>
      </c>
      <c r="BE64" s="18">
        <f t="shared" si="106"/>
        <v>0</v>
      </c>
      <c r="BF64" s="18">
        <f t="shared" si="106"/>
        <v>0</v>
      </c>
      <c r="BG64" s="18">
        <f t="shared" si="106"/>
        <v>0</v>
      </c>
      <c r="BH64" s="18">
        <f t="shared" si="106"/>
        <v>0</v>
      </c>
      <c r="BI64" s="18">
        <f t="shared" si="106"/>
        <v>0</v>
      </c>
      <c r="BJ64" s="18">
        <f t="shared" si="106"/>
        <v>0</v>
      </c>
      <c r="BK64" s="18">
        <f t="shared" ref="BK64" si="108">SUM(BK65:BK66)</f>
        <v>0</v>
      </c>
      <c r="BL64" s="18">
        <f t="shared" si="106"/>
        <v>148410</v>
      </c>
      <c r="BM64" s="18">
        <f t="shared" si="106"/>
        <v>148410</v>
      </c>
      <c r="BN64" s="18">
        <f t="shared" ref="BN64" si="109">SUM(BN65:BN66)</f>
        <v>0</v>
      </c>
      <c r="BO64" s="18">
        <f t="shared" si="106"/>
        <v>524256</v>
      </c>
      <c r="BP64" s="18">
        <f t="shared" si="106"/>
        <v>0</v>
      </c>
      <c r="BQ64" s="18">
        <f t="shared" si="106"/>
        <v>0</v>
      </c>
      <c r="BR64" s="18">
        <f t="shared" si="106"/>
        <v>0</v>
      </c>
      <c r="BS64" s="18">
        <f t="shared" si="106"/>
        <v>0</v>
      </c>
      <c r="BT64" s="18">
        <f t="shared" si="106"/>
        <v>0</v>
      </c>
      <c r="BU64" s="18">
        <f t="shared" si="106"/>
        <v>0</v>
      </c>
      <c r="BV64" s="18">
        <f t="shared" ref="BV64:DA64" si="110">SUM(BV65:BV66)</f>
        <v>0</v>
      </c>
      <c r="BW64" s="18">
        <f t="shared" si="110"/>
        <v>0</v>
      </c>
      <c r="BX64" s="18">
        <f t="shared" si="110"/>
        <v>0</v>
      </c>
      <c r="BY64" s="18">
        <f t="shared" si="110"/>
        <v>0</v>
      </c>
      <c r="BZ64" s="18">
        <f t="shared" si="110"/>
        <v>524256</v>
      </c>
      <c r="CA64" s="18">
        <f t="shared" si="110"/>
        <v>3748275</v>
      </c>
      <c r="CB64" s="18">
        <f t="shared" si="110"/>
        <v>3748275</v>
      </c>
      <c r="CC64" s="18">
        <f t="shared" si="110"/>
        <v>1065775</v>
      </c>
      <c r="CD64" s="18">
        <f t="shared" si="110"/>
        <v>0</v>
      </c>
      <c r="CE64" s="18">
        <f t="shared" si="110"/>
        <v>1065775</v>
      </c>
      <c r="CF64" s="18">
        <f t="shared" si="110"/>
        <v>1962500</v>
      </c>
      <c r="CG64" s="18">
        <f t="shared" si="110"/>
        <v>0</v>
      </c>
      <c r="CH64" s="18">
        <f t="shared" ref="CH64:CI64" si="111">SUM(CH65:CH66)</f>
        <v>0</v>
      </c>
      <c r="CI64" s="18">
        <f t="shared" si="111"/>
        <v>1962500</v>
      </c>
      <c r="CJ64" s="18">
        <f t="shared" si="110"/>
        <v>0</v>
      </c>
      <c r="CK64" s="18">
        <f t="shared" ref="CK64" si="112">SUM(CK65:CK66)</f>
        <v>0</v>
      </c>
      <c r="CL64" s="18">
        <f t="shared" si="110"/>
        <v>720000</v>
      </c>
      <c r="CM64" s="18">
        <f t="shared" si="110"/>
        <v>0</v>
      </c>
      <c r="CN64" s="18">
        <f t="shared" ref="CN64" si="113">SUM(CN65:CN66)</f>
        <v>0</v>
      </c>
      <c r="CO64" s="18">
        <f t="shared" si="110"/>
        <v>720000</v>
      </c>
      <c r="CP64" s="18"/>
      <c r="CQ64" s="18"/>
      <c r="CR64" s="18"/>
      <c r="CS64" s="18"/>
      <c r="CT64" s="18">
        <f t="shared" si="110"/>
        <v>0</v>
      </c>
      <c r="CU64" s="18"/>
      <c r="CV64" s="18"/>
      <c r="CW64" s="18"/>
      <c r="CX64" s="18">
        <f t="shared" si="110"/>
        <v>0</v>
      </c>
      <c r="CY64" s="18">
        <f t="shared" si="110"/>
        <v>0</v>
      </c>
      <c r="CZ64" s="18">
        <f t="shared" si="110"/>
        <v>0</v>
      </c>
      <c r="DA64" s="46">
        <f t="shared" si="110"/>
        <v>0</v>
      </c>
      <c r="DB64" s="85"/>
    </row>
    <row r="65" spans="1:106" ht="15.75" x14ac:dyDescent="0.25">
      <c r="A65" s="72" t="s">
        <v>1</v>
      </c>
      <c r="B65" s="21" t="s">
        <v>156</v>
      </c>
      <c r="C65" s="22" t="s">
        <v>157</v>
      </c>
      <c r="D65" s="18">
        <f>SUM(E65+CA65+CX65)</f>
        <v>8050516</v>
      </c>
      <c r="E65" s="19">
        <f>SUM(F65+BB65)</f>
        <v>7773209</v>
      </c>
      <c r="F65" s="19">
        <f t="shared" ref="F65:F66" si="114">SUM(G65+H65+I65+P65+S65+T65+U65+AE65)</f>
        <v>7773209</v>
      </c>
      <c r="G65" s="23">
        <v>6331904</v>
      </c>
      <c r="H65" s="23">
        <v>164483</v>
      </c>
      <c r="I65" s="19">
        <f t="shared" si="7"/>
        <v>464096</v>
      </c>
      <c r="J65" s="23">
        <v>0</v>
      </c>
      <c r="K65" s="23">
        <v>150685</v>
      </c>
      <c r="L65" s="23">
        <v>0</v>
      </c>
      <c r="M65" s="23">
        <v>0</v>
      </c>
      <c r="N65" s="23">
        <f>240784-84</f>
        <v>240700</v>
      </c>
      <c r="O65" s="23">
        <f>74059-1348</f>
        <v>72711</v>
      </c>
      <c r="P65" s="19">
        <f t="shared" si="8"/>
        <v>0</v>
      </c>
      <c r="Q65" s="23">
        <v>0</v>
      </c>
      <c r="R65" s="23">
        <v>0</v>
      </c>
      <c r="S65" s="23">
        <v>0</v>
      </c>
      <c r="T65" s="23">
        <v>238740</v>
      </c>
      <c r="U65" s="19">
        <f t="shared" ref="U65:U66" si="115">SUM(V65:AC65)</f>
        <v>114428</v>
      </c>
      <c r="V65" s="23">
        <v>0</v>
      </c>
      <c r="W65" s="23">
        <f>50102+141+9012</f>
        <v>59255</v>
      </c>
      <c r="X65" s="23">
        <f>39802+4261</f>
        <v>44063</v>
      </c>
      <c r="Y65" s="23">
        <v>8642</v>
      </c>
      <c r="Z65" s="23">
        <v>1322</v>
      </c>
      <c r="AA65" s="23">
        <v>0</v>
      </c>
      <c r="AB65" s="23">
        <v>0</v>
      </c>
      <c r="AC65" s="23">
        <v>1146</v>
      </c>
      <c r="AD65" s="19">
        <v>0</v>
      </c>
      <c r="AE65" s="19">
        <f>SUM(AF65:BA65)</f>
        <v>459558</v>
      </c>
      <c r="AF65" s="19">
        <v>0</v>
      </c>
      <c r="AG65" s="19">
        <v>0</v>
      </c>
      <c r="AH65" s="23">
        <v>0</v>
      </c>
      <c r="AI65" s="23">
        <v>0</v>
      </c>
      <c r="AJ65" s="23">
        <v>0</v>
      </c>
      <c r="AK65" s="23">
        <v>0</v>
      </c>
      <c r="AL65" s="23">
        <v>0</v>
      </c>
      <c r="AM65" s="23">
        <v>0</v>
      </c>
      <c r="AN65" s="23">
        <v>0</v>
      </c>
      <c r="AO65" s="23">
        <v>0</v>
      </c>
      <c r="AP65" s="23">
        <v>0</v>
      </c>
      <c r="AQ65" s="23"/>
      <c r="AR65" s="23">
        <v>0</v>
      </c>
      <c r="AS65" s="23">
        <v>0</v>
      </c>
      <c r="AT65" s="23">
        <v>0</v>
      </c>
      <c r="AU65" s="23">
        <v>0</v>
      </c>
      <c r="AV65" s="23">
        <v>0</v>
      </c>
      <c r="AW65" s="23">
        <v>0</v>
      </c>
      <c r="AX65" s="23">
        <v>459558</v>
      </c>
      <c r="AY65" s="23">
        <v>0</v>
      </c>
      <c r="AZ65" s="23">
        <v>0</v>
      </c>
      <c r="BA65" s="23">
        <v>0</v>
      </c>
      <c r="BB65" s="19">
        <f>SUM(BC65+BG65+BJ65+BL65+BO65)</f>
        <v>0</v>
      </c>
      <c r="BC65" s="19">
        <f>SUM(BD65:BF65)</f>
        <v>0</v>
      </c>
      <c r="BD65" s="19">
        <v>0</v>
      </c>
      <c r="BE65" s="19">
        <v>0</v>
      </c>
      <c r="BF65" s="19">
        <v>0</v>
      </c>
      <c r="BG65" s="19">
        <f>SUM(BI65:BI65)</f>
        <v>0</v>
      </c>
      <c r="BH65" s="19">
        <v>0</v>
      </c>
      <c r="BI65" s="19">
        <v>0</v>
      </c>
      <c r="BJ65" s="19">
        <v>0</v>
      </c>
      <c r="BK65" s="19">
        <v>0</v>
      </c>
      <c r="BL65" s="19">
        <f t="shared" si="9"/>
        <v>0</v>
      </c>
      <c r="BM65" s="19">
        <v>0</v>
      </c>
      <c r="BN65" s="19">
        <v>0</v>
      </c>
      <c r="BO65" s="19">
        <f>SUM(BP65:BZ65)</f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19">
        <v>0</v>
      </c>
      <c r="BY65" s="19">
        <v>0</v>
      </c>
      <c r="BZ65" s="19">
        <v>0</v>
      </c>
      <c r="CA65" s="19">
        <f>SUM(CB65+CT65)</f>
        <v>277307</v>
      </c>
      <c r="CB65" s="19">
        <f>SUM(CC65+CF65+CL65)</f>
        <v>277307</v>
      </c>
      <c r="CC65" s="19">
        <f t="shared" si="10"/>
        <v>114807</v>
      </c>
      <c r="CD65" s="19">
        <v>0</v>
      </c>
      <c r="CE65" s="23">
        <f>126648-11841</f>
        <v>114807</v>
      </c>
      <c r="CF65" s="19">
        <f>SUM(CG65:CK65)</f>
        <v>162500</v>
      </c>
      <c r="CG65" s="19">
        <v>0</v>
      </c>
      <c r="CH65" s="19">
        <v>0</v>
      </c>
      <c r="CI65" s="19">
        <v>162500</v>
      </c>
      <c r="CJ65" s="19">
        <v>0</v>
      </c>
      <c r="CK65" s="19">
        <v>0</v>
      </c>
      <c r="CL65" s="19">
        <f>SUM(CM65:CQ65)</f>
        <v>0</v>
      </c>
      <c r="CM65" s="19">
        <v>0</v>
      </c>
      <c r="CN65" s="19">
        <v>0</v>
      </c>
      <c r="CO65" s="19">
        <v>0</v>
      </c>
      <c r="CP65" s="19"/>
      <c r="CQ65" s="19"/>
      <c r="CR65" s="19"/>
      <c r="CS65" s="19"/>
      <c r="CT65" s="19">
        <v>0</v>
      </c>
      <c r="CU65" s="19"/>
      <c r="CV65" s="19"/>
      <c r="CW65" s="19"/>
      <c r="CX65" s="19">
        <f t="shared" si="11"/>
        <v>0</v>
      </c>
      <c r="CY65" s="19">
        <f t="shared" si="12"/>
        <v>0</v>
      </c>
      <c r="CZ65" s="19">
        <v>0</v>
      </c>
      <c r="DA65" s="20">
        <v>0</v>
      </c>
    </row>
    <row r="66" spans="1:106" ht="15.75" x14ac:dyDescent="0.25">
      <c r="A66" s="72" t="s">
        <v>1</v>
      </c>
      <c r="B66" s="21" t="s">
        <v>158</v>
      </c>
      <c r="C66" s="22" t="s">
        <v>159</v>
      </c>
      <c r="D66" s="18">
        <f>SUM(E66+CA66+CX66)</f>
        <v>112493093</v>
      </c>
      <c r="E66" s="19">
        <f>SUM(F66+BB66)</f>
        <v>109022125</v>
      </c>
      <c r="F66" s="19">
        <f t="shared" si="114"/>
        <v>108349459</v>
      </c>
      <c r="G66" s="23">
        <f>61892285+729868</f>
        <v>62622153</v>
      </c>
      <c r="H66" s="23">
        <f>2567753+49000</f>
        <v>2616753</v>
      </c>
      <c r="I66" s="19">
        <f t="shared" si="7"/>
        <v>30133436</v>
      </c>
      <c r="J66" s="23">
        <v>716844</v>
      </c>
      <c r="K66" s="23">
        <v>6116050</v>
      </c>
      <c r="L66" s="23">
        <f>18805995-172256</f>
        <v>18633739</v>
      </c>
      <c r="M66" s="23">
        <v>0</v>
      </c>
      <c r="N66" s="23">
        <v>3542477</v>
      </c>
      <c r="O66" s="23">
        <v>1124326</v>
      </c>
      <c r="P66" s="19">
        <f t="shared" si="8"/>
        <v>3130</v>
      </c>
      <c r="Q66" s="23">
        <v>3130</v>
      </c>
      <c r="R66" s="23">
        <v>0</v>
      </c>
      <c r="S66" s="23">
        <v>0</v>
      </c>
      <c r="T66" s="23">
        <v>206644</v>
      </c>
      <c r="U66" s="19">
        <f t="shared" si="115"/>
        <v>8272697</v>
      </c>
      <c r="V66" s="23">
        <v>877013</v>
      </c>
      <c r="W66" s="23">
        <v>4924</v>
      </c>
      <c r="X66" s="23">
        <v>3831292</v>
      </c>
      <c r="Y66" s="23">
        <v>2890278</v>
      </c>
      <c r="Z66" s="23">
        <v>180132</v>
      </c>
      <c r="AA66" s="23">
        <v>42233</v>
      </c>
      <c r="AB66" s="23">
        <v>0</v>
      </c>
      <c r="AC66" s="23">
        <v>446825</v>
      </c>
      <c r="AD66" s="19">
        <v>0</v>
      </c>
      <c r="AE66" s="19">
        <f>SUM(AF66:BA66)</f>
        <v>4494646</v>
      </c>
      <c r="AF66" s="19">
        <v>0</v>
      </c>
      <c r="AG66" s="19">
        <v>0</v>
      </c>
      <c r="AH66" s="23">
        <v>6936</v>
      </c>
      <c r="AI66" s="23">
        <v>687137</v>
      </c>
      <c r="AJ66" s="23">
        <v>0</v>
      </c>
      <c r="AK66" s="23">
        <v>0</v>
      </c>
      <c r="AL66" s="23">
        <v>37979</v>
      </c>
      <c r="AM66" s="23">
        <v>0</v>
      </c>
      <c r="AN66" s="23">
        <v>82025</v>
      </c>
      <c r="AO66" s="23">
        <v>13386</v>
      </c>
      <c r="AP66" s="23">
        <v>0</v>
      </c>
      <c r="AQ66" s="23"/>
      <c r="AR66" s="23">
        <v>399815</v>
      </c>
      <c r="AS66" s="23">
        <v>138774</v>
      </c>
      <c r="AT66" s="23">
        <v>0</v>
      </c>
      <c r="AU66" s="23">
        <v>0</v>
      </c>
      <c r="AV66" s="23">
        <v>0</v>
      </c>
      <c r="AW66" s="23">
        <v>0</v>
      </c>
      <c r="AX66" s="23">
        <f>4000319-1149868-49000</f>
        <v>2801451</v>
      </c>
      <c r="AY66" s="23">
        <f>562469-432000</f>
        <v>130469</v>
      </c>
      <c r="AZ66" s="23">
        <v>0</v>
      </c>
      <c r="BA66" s="23">
        <v>196674</v>
      </c>
      <c r="BB66" s="19">
        <f>SUM(BC66+BG66+BJ66+BL66+BO66)</f>
        <v>672666</v>
      </c>
      <c r="BC66" s="19">
        <f>SUM(BD66:BF66)</f>
        <v>0</v>
      </c>
      <c r="BD66" s="19">
        <v>0</v>
      </c>
      <c r="BE66" s="19">
        <v>0</v>
      </c>
      <c r="BF66" s="19">
        <v>0</v>
      </c>
      <c r="BG66" s="19">
        <f>SUM(BI66:BI66)</f>
        <v>0</v>
      </c>
      <c r="BH66" s="19">
        <v>0</v>
      </c>
      <c r="BI66" s="19">
        <v>0</v>
      </c>
      <c r="BJ66" s="19">
        <v>0</v>
      </c>
      <c r="BK66" s="19"/>
      <c r="BL66" s="19">
        <f t="shared" si="9"/>
        <v>148410</v>
      </c>
      <c r="BM66" s="19">
        <v>148410</v>
      </c>
      <c r="BN66" s="19"/>
      <c r="BO66" s="19">
        <f>SUM(BP66:BZ66)</f>
        <v>524256</v>
      </c>
      <c r="BP66" s="19">
        <v>0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19">
        <v>0</v>
      </c>
      <c r="BY66" s="19">
        <v>0</v>
      </c>
      <c r="BZ66" s="19">
        <f>0+524256</f>
        <v>524256</v>
      </c>
      <c r="CA66" s="19">
        <f>SUM(CB66+CT66)</f>
        <v>3470968</v>
      </c>
      <c r="CB66" s="19">
        <f>SUM(CC66+CF66+CL66)</f>
        <v>3470968</v>
      </c>
      <c r="CC66" s="19">
        <f t="shared" si="10"/>
        <v>950968</v>
      </c>
      <c r="CD66" s="19">
        <v>0</v>
      </c>
      <c r="CE66" s="23">
        <f>870968+80000</f>
        <v>950968</v>
      </c>
      <c r="CF66" s="19">
        <f>SUM(CG66:CK66)</f>
        <v>1800000</v>
      </c>
      <c r="CG66" s="19">
        <v>0</v>
      </c>
      <c r="CH66" s="19">
        <v>0</v>
      </c>
      <c r="CI66" s="19">
        <v>1800000</v>
      </c>
      <c r="CJ66" s="19">
        <v>0</v>
      </c>
      <c r="CK66" s="19">
        <v>0</v>
      </c>
      <c r="CL66" s="19">
        <f>SUM(CM66:CQ66)</f>
        <v>720000</v>
      </c>
      <c r="CM66" s="19">
        <v>0</v>
      </c>
      <c r="CN66" s="19">
        <v>0</v>
      </c>
      <c r="CO66" s="19">
        <v>720000</v>
      </c>
      <c r="CP66" s="19"/>
      <c r="CQ66" s="19"/>
      <c r="CR66" s="19"/>
      <c r="CS66" s="19"/>
      <c r="CT66" s="19">
        <v>0</v>
      </c>
      <c r="CU66" s="19"/>
      <c r="CV66" s="19"/>
      <c r="CW66" s="19"/>
      <c r="CX66" s="19">
        <f t="shared" si="11"/>
        <v>0</v>
      </c>
      <c r="CY66" s="19">
        <f t="shared" si="12"/>
        <v>0</v>
      </c>
      <c r="CZ66" s="19">
        <v>0</v>
      </c>
      <c r="DA66" s="20">
        <v>0</v>
      </c>
    </row>
    <row r="67" spans="1:106" s="86" customFormat="1" ht="15.75" x14ac:dyDescent="0.25">
      <c r="A67" s="71" t="s">
        <v>160</v>
      </c>
      <c r="B67" s="16" t="s">
        <v>1</v>
      </c>
      <c r="C67" s="17" t="s">
        <v>161</v>
      </c>
      <c r="D67" s="18">
        <f t="shared" ref="D67:AK67" si="116">SUM(D68)</f>
        <v>128703567</v>
      </c>
      <c r="E67" s="18">
        <f t="shared" si="116"/>
        <v>127308440</v>
      </c>
      <c r="F67" s="18">
        <f t="shared" si="116"/>
        <v>126471628</v>
      </c>
      <c r="G67" s="18">
        <f t="shared" si="116"/>
        <v>97294910</v>
      </c>
      <c r="H67" s="18">
        <f t="shared" si="116"/>
        <v>1089595</v>
      </c>
      <c r="I67" s="18">
        <f t="shared" si="116"/>
        <v>11410491</v>
      </c>
      <c r="J67" s="18">
        <f t="shared" si="116"/>
        <v>216741</v>
      </c>
      <c r="K67" s="18">
        <f t="shared" si="116"/>
        <v>4544814</v>
      </c>
      <c r="L67" s="18">
        <f t="shared" si="116"/>
        <v>1178204</v>
      </c>
      <c r="M67" s="18">
        <f t="shared" si="116"/>
        <v>410849</v>
      </c>
      <c r="N67" s="18">
        <f t="shared" si="116"/>
        <v>4483676</v>
      </c>
      <c r="O67" s="18">
        <f t="shared" si="116"/>
        <v>576207</v>
      </c>
      <c r="P67" s="18">
        <f t="shared" si="116"/>
        <v>6474326</v>
      </c>
      <c r="Q67" s="18">
        <f t="shared" si="116"/>
        <v>34326</v>
      </c>
      <c r="R67" s="18">
        <f t="shared" si="116"/>
        <v>6440000</v>
      </c>
      <c r="S67" s="18">
        <f t="shared" si="116"/>
        <v>0</v>
      </c>
      <c r="T67" s="18">
        <f t="shared" si="116"/>
        <v>598740</v>
      </c>
      <c r="U67" s="18">
        <f t="shared" si="116"/>
        <v>1825663</v>
      </c>
      <c r="V67" s="18">
        <f t="shared" si="116"/>
        <v>67985</v>
      </c>
      <c r="W67" s="18">
        <f t="shared" si="116"/>
        <v>525846</v>
      </c>
      <c r="X67" s="18">
        <f t="shared" si="116"/>
        <v>1038216</v>
      </c>
      <c r="Y67" s="18">
        <f t="shared" si="116"/>
        <v>132935</v>
      </c>
      <c r="Z67" s="18">
        <f t="shared" si="116"/>
        <v>31357</v>
      </c>
      <c r="AA67" s="18">
        <f t="shared" si="116"/>
        <v>0</v>
      </c>
      <c r="AB67" s="18">
        <f t="shared" si="116"/>
        <v>0</v>
      </c>
      <c r="AC67" s="18">
        <f t="shared" si="116"/>
        <v>29324</v>
      </c>
      <c r="AD67" s="18">
        <f t="shared" si="116"/>
        <v>0</v>
      </c>
      <c r="AE67" s="18">
        <f t="shared" si="116"/>
        <v>7777903</v>
      </c>
      <c r="AF67" s="18">
        <f t="shared" si="116"/>
        <v>0</v>
      </c>
      <c r="AG67" s="18">
        <f t="shared" si="116"/>
        <v>0</v>
      </c>
      <c r="AH67" s="18">
        <f t="shared" si="116"/>
        <v>99428</v>
      </c>
      <c r="AI67" s="18">
        <f t="shared" si="116"/>
        <v>363613</v>
      </c>
      <c r="AJ67" s="18">
        <f t="shared" si="116"/>
        <v>0</v>
      </c>
      <c r="AK67" s="18">
        <f t="shared" si="116"/>
        <v>11442</v>
      </c>
      <c r="AL67" s="18">
        <f t="shared" ref="AL67:DA67" si="117">SUM(AL68)</f>
        <v>45422</v>
      </c>
      <c r="AM67" s="18">
        <f t="shared" si="117"/>
        <v>7496</v>
      </c>
      <c r="AN67" s="18">
        <f t="shared" si="117"/>
        <v>158199</v>
      </c>
      <c r="AO67" s="18">
        <f t="shared" si="117"/>
        <v>18042</v>
      </c>
      <c r="AP67" s="18">
        <f t="shared" si="117"/>
        <v>1720</v>
      </c>
      <c r="AQ67" s="18"/>
      <c r="AR67" s="18">
        <f t="shared" si="117"/>
        <v>240539</v>
      </c>
      <c r="AS67" s="18">
        <f t="shared" si="117"/>
        <v>0</v>
      </c>
      <c r="AT67" s="18">
        <f t="shared" si="117"/>
        <v>0</v>
      </c>
      <c r="AU67" s="18"/>
      <c r="AV67" s="18"/>
      <c r="AW67" s="18">
        <f t="shared" si="117"/>
        <v>0</v>
      </c>
      <c r="AX67" s="18">
        <f t="shared" si="117"/>
        <v>6300000</v>
      </c>
      <c r="AY67" s="18">
        <f t="shared" si="117"/>
        <v>0</v>
      </c>
      <c r="AZ67" s="18"/>
      <c r="BA67" s="18">
        <f t="shared" si="117"/>
        <v>532002</v>
      </c>
      <c r="BB67" s="18">
        <f t="shared" si="117"/>
        <v>836812</v>
      </c>
      <c r="BC67" s="18">
        <f t="shared" si="117"/>
        <v>0</v>
      </c>
      <c r="BD67" s="18">
        <f t="shared" si="117"/>
        <v>0</v>
      </c>
      <c r="BE67" s="18">
        <f t="shared" si="117"/>
        <v>0</v>
      </c>
      <c r="BF67" s="18">
        <f t="shared" si="117"/>
        <v>0</v>
      </c>
      <c r="BG67" s="18">
        <f t="shared" si="117"/>
        <v>0</v>
      </c>
      <c r="BH67" s="18">
        <f t="shared" si="117"/>
        <v>0</v>
      </c>
      <c r="BI67" s="18">
        <f t="shared" si="117"/>
        <v>0</v>
      </c>
      <c r="BJ67" s="18">
        <f t="shared" si="117"/>
        <v>0</v>
      </c>
      <c r="BK67" s="18">
        <f t="shared" si="117"/>
        <v>0</v>
      </c>
      <c r="BL67" s="18">
        <f t="shared" si="117"/>
        <v>233400</v>
      </c>
      <c r="BM67" s="18">
        <f t="shared" si="117"/>
        <v>233400</v>
      </c>
      <c r="BN67" s="18">
        <f t="shared" si="117"/>
        <v>0</v>
      </c>
      <c r="BO67" s="18">
        <f t="shared" si="117"/>
        <v>603412</v>
      </c>
      <c r="BP67" s="18">
        <f t="shared" si="117"/>
        <v>0</v>
      </c>
      <c r="BQ67" s="18">
        <f t="shared" si="117"/>
        <v>0</v>
      </c>
      <c r="BR67" s="18">
        <f t="shared" si="117"/>
        <v>0</v>
      </c>
      <c r="BS67" s="18">
        <f t="shared" si="117"/>
        <v>0</v>
      </c>
      <c r="BT67" s="18">
        <f t="shared" si="117"/>
        <v>0</v>
      </c>
      <c r="BU67" s="18">
        <f t="shared" si="117"/>
        <v>0</v>
      </c>
      <c r="BV67" s="18">
        <f t="shared" si="117"/>
        <v>0</v>
      </c>
      <c r="BW67" s="18">
        <f t="shared" si="117"/>
        <v>0</v>
      </c>
      <c r="BX67" s="18">
        <f t="shared" si="117"/>
        <v>0</v>
      </c>
      <c r="BY67" s="18">
        <f t="shared" si="117"/>
        <v>187309</v>
      </c>
      <c r="BZ67" s="18">
        <f t="shared" si="117"/>
        <v>416103</v>
      </c>
      <c r="CA67" s="18">
        <f t="shared" si="117"/>
        <v>1395127</v>
      </c>
      <c r="CB67" s="18">
        <f t="shared" si="117"/>
        <v>1395127</v>
      </c>
      <c r="CC67" s="18">
        <f t="shared" si="117"/>
        <v>856948</v>
      </c>
      <c r="CD67" s="18">
        <f t="shared" si="117"/>
        <v>0</v>
      </c>
      <c r="CE67" s="18">
        <f t="shared" si="117"/>
        <v>856948</v>
      </c>
      <c r="CF67" s="18">
        <f t="shared" si="117"/>
        <v>74579</v>
      </c>
      <c r="CG67" s="18">
        <f t="shared" si="117"/>
        <v>0</v>
      </c>
      <c r="CH67" s="18">
        <f t="shared" si="117"/>
        <v>0</v>
      </c>
      <c r="CI67" s="18">
        <f t="shared" si="117"/>
        <v>74579</v>
      </c>
      <c r="CJ67" s="18">
        <f t="shared" si="117"/>
        <v>0</v>
      </c>
      <c r="CK67" s="18">
        <f t="shared" si="117"/>
        <v>0</v>
      </c>
      <c r="CL67" s="18">
        <f t="shared" si="117"/>
        <v>463600</v>
      </c>
      <c r="CM67" s="18">
        <f t="shared" si="117"/>
        <v>0</v>
      </c>
      <c r="CN67" s="18">
        <f t="shared" si="117"/>
        <v>0</v>
      </c>
      <c r="CO67" s="18">
        <f t="shared" si="117"/>
        <v>463600</v>
      </c>
      <c r="CP67" s="18"/>
      <c r="CQ67" s="18"/>
      <c r="CR67" s="18"/>
      <c r="CS67" s="18"/>
      <c r="CT67" s="18">
        <f t="shared" si="117"/>
        <v>0</v>
      </c>
      <c r="CU67" s="18"/>
      <c r="CV67" s="18"/>
      <c r="CW67" s="18"/>
      <c r="CX67" s="18">
        <f t="shared" si="117"/>
        <v>0</v>
      </c>
      <c r="CY67" s="18">
        <f t="shared" si="117"/>
        <v>0</v>
      </c>
      <c r="CZ67" s="18">
        <f t="shared" si="117"/>
        <v>0</v>
      </c>
      <c r="DA67" s="46">
        <f t="shared" si="117"/>
        <v>0</v>
      </c>
      <c r="DB67" s="85"/>
    </row>
    <row r="68" spans="1:106" ht="31.5" x14ac:dyDescent="0.25">
      <c r="A68" s="72" t="s">
        <v>1</v>
      </c>
      <c r="B68" s="21" t="s">
        <v>162</v>
      </c>
      <c r="C68" s="22" t="s">
        <v>163</v>
      </c>
      <c r="D68" s="18">
        <f>SUM(E68+CA68+CX68)</f>
        <v>128703567</v>
      </c>
      <c r="E68" s="19">
        <f>SUM(F68+BB68)</f>
        <v>127308440</v>
      </c>
      <c r="F68" s="19">
        <f>SUM(G68+H68+I68+P68+S68+T68+U68+AE68)</f>
        <v>126471628</v>
      </c>
      <c r="G68" s="23">
        <f>82294910+15000000</f>
        <v>97294910</v>
      </c>
      <c r="H68" s="23">
        <v>1089595</v>
      </c>
      <c r="I68" s="19">
        <f t="shared" si="7"/>
        <v>11410491</v>
      </c>
      <c r="J68" s="23">
        <v>216741</v>
      </c>
      <c r="K68" s="23">
        <v>4544814</v>
      </c>
      <c r="L68" s="23">
        <v>1178204</v>
      </c>
      <c r="M68" s="23">
        <v>410849</v>
      </c>
      <c r="N68" s="23">
        <f>4384689+51000+47987</f>
        <v>4483676</v>
      </c>
      <c r="O68" s="23">
        <v>576207</v>
      </c>
      <c r="P68" s="19">
        <f t="shared" si="8"/>
        <v>6474326</v>
      </c>
      <c r="Q68" s="23">
        <v>34326</v>
      </c>
      <c r="R68" s="23">
        <v>6440000</v>
      </c>
      <c r="S68" s="23">
        <v>0</v>
      </c>
      <c r="T68" s="23">
        <v>598740</v>
      </c>
      <c r="U68" s="19">
        <f>SUM(V68:AC68)</f>
        <v>1825663</v>
      </c>
      <c r="V68" s="23">
        <v>67985</v>
      </c>
      <c r="W68" s="23">
        <f>524477+2362-993</f>
        <v>525846</v>
      </c>
      <c r="X68" s="23">
        <v>1038216</v>
      </c>
      <c r="Y68" s="23">
        <f>124463+8472</f>
        <v>132935</v>
      </c>
      <c r="Z68" s="23">
        <v>31357</v>
      </c>
      <c r="AA68" s="23">
        <v>0</v>
      </c>
      <c r="AB68" s="23">
        <v>0</v>
      </c>
      <c r="AC68" s="23">
        <f>28942+382</f>
        <v>29324</v>
      </c>
      <c r="AD68" s="19">
        <v>0</v>
      </c>
      <c r="AE68" s="19">
        <f>SUM(AF68:BA68)</f>
        <v>7777903</v>
      </c>
      <c r="AF68" s="19">
        <v>0</v>
      </c>
      <c r="AG68" s="19">
        <v>0</v>
      </c>
      <c r="AH68" s="23">
        <v>99428</v>
      </c>
      <c r="AI68" s="23">
        <f>372085-8472</f>
        <v>363613</v>
      </c>
      <c r="AJ68" s="23">
        <v>0</v>
      </c>
      <c r="AK68" s="23">
        <v>11442</v>
      </c>
      <c r="AL68" s="23">
        <v>45422</v>
      </c>
      <c r="AM68" s="23">
        <f>7663-167</f>
        <v>7496</v>
      </c>
      <c r="AN68" s="23">
        <v>158199</v>
      </c>
      <c r="AO68" s="23">
        <v>18042</v>
      </c>
      <c r="AP68" s="23">
        <v>1720</v>
      </c>
      <c r="AQ68" s="23"/>
      <c r="AR68" s="23">
        <v>240539</v>
      </c>
      <c r="AS68" s="23">
        <v>0</v>
      </c>
      <c r="AT68" s="23">
        <v>0</v>
      </c>
      <c r="AU68" s="23">
        <v>0</v>
      </c>
      <c r="AV68" s="23">
        <v>0</v>
      </c>
      <c r="AW68" s="23">
        <v>0</v>
      </c>
      <c r="AX68" s="23">
        <v>6300000</v>
      </c>
      <c r="AY68" s="23">
        <v>0</v>
      </c>
      <c r="AZ68" s="23">
        <v>0</v>
      </c>
      <c r="BA68" s="23">
        <f>579822-47820</f>
        <v>532002</v>
      </c>
      <c r="BB68" s="19">
        <f>SUM(BC68+BG68+BJ68+BL68+BO68)</f>
        <v>836812</v>
      </c>
      <c r="BC68" s="19">
        <f>SUM(BD68:BF68)</f>
        <v>0</v>
      </c>
      <c r="BD68" s="19">
        <v>0</v>
      </c>
      <c r="BE68" s="19">
        <v>0</v>
      </c>
      <c r="BF68" s="19">
        <v>0</v>
      </c>
      <c r="BG68" s="19">
        <f>SUM(BI68:BI68)</f>
        <v>0</v>
      </c>
      <c r="BH68" s="19">
        <v>0</v>
      </c>
      <c r="BI68" s="19">
        <v>0</v>
      </c>
      <c r="BJ68" s="19">
        <v>0</v>
      </c>
      <c r="BK68" s="19"/>
      <c r="BL68" s="19">
        <f t="shared" si="9"/>
        <v>233400</v>
      </c>
      <c r="BM68" s="19">
        <f>133400+100000</f>
        <v>233400</v>
      </c>
      <c r="BN68" s="19"/>
      <c r="BO68" s="19">
        <f>SUM(BP68:BZ68)</f>
        <v>603412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f>0+187309</f>
        <v>187309</v>
      </c>
      <c r="BZ68" s="23">
        <f>303360+112743</f>
        <v>416103</v>
      </c>
      <c r="CA68" s="19">
        <f>SUM(CB68+CT68)</f>
        <v>1395127</v>
      </c>
      <c r="CB68" s="19">
        <f>SUM(CC68+CF68+CL68)</f>
        <v>1395127</v>
      </c>
      <c r="CC68" s="19">
        <f t="shared" si="10"/>
        <v>856948</v>
      </c>
      <c r="CD68" s="19">
        <v>0</v>
      </c>
      <c r="CE68" s="23">
        <v>856948</v>
      </c>
      <c r="CF68" s="19">
        <f>SUM(CG68:CK68)</f>
        <v>74579</v>
      </c>
      <c r="CG68" s="19">
        <v>0</v>
      </c>
      <c r="CH68" s="19">
        <v>0</v>
      </c>
      <c r="CI68" s="23">
        <v>74579</v>
      </c>
      <c r="CJ68" s="23"/>
      <c r="CK68" s="23"/>
      <c r="CL68" s="19">
        <f>SUM(CM68:CQ68)</f>
        <v>463600</v>
      </c>
      <c r="CM68" s="19"/>
      <c r="CN68" s="19"/>
      <c r="CO68" s="23">
        <v>463600</v>
      </c>
      <c r="CP68" s="19"/>
      <c r="CQ68" s="19"/>
      <c r="CR68" s="19"/>
      <c r="CS68" s="19"/>
      <c r="CT68" s="19">
        <v>0</v>
      </c>
      <c r="CU68" s="19"/>
      <c r="CV68" s="19"/>
      <c r="CW68" s="19"/>
      <c r="CX68" s="19">
        <f t="shared" si="11"/>
        <v>0</v>
      </c>
      <c r="CY68" s="19">
        <f t="shared" si="12"/>
        <v>0</v>
      </c>
      <c r="CZ68" s="19">
        <v>0</v>
      </c>
      <c r="DA68" s="20">
        <v>0</v>
      </c>
    </row>
    <row r="69" spans="1:106" s="86" customFormat="1" ht="15.75" x14ac:dyDescent="0.25">
      <c r="A69" s="71" t="s">
        <v>164</v>
      </c>
      <c r="B69" s="16" t="s">
        <v>1</v>
      </c>
      <c r="C69" s="17" t="s">
        <v>165</v>
      </c>
      <c r="D69" s="18">
        <f t="shared" ref="D69:AK69" si="118">SUM(D70)</f>
        <v>24828981</v>
      </c>
      <c r="E69" s="18">
        <f t="shared" si="118"/>
        <v>23697576</v>
      </c>
      <c r="F69" s="18">
        <f t="shared" si="118"/>
        <v>23697576</v>
      </c>
      <c r="G69" s="18">
        <f t="shared" si="118"/>
        <v>19676499</v>
      </c>
      <c r="H69" s="18">
        <f t="shared" si="118"/>
        <v>652395</v>
      </c>
      <c r="I69" s="18">
        <f t="shared" si="118"/>
        <v>2289244</v>
      </c>
      <c r="J69" s="18">
        <f t="shared" si="118"/>
        <v>3363</v>
      </c>
      <c r="K69" s="18">
        <f t="shared" si="118"/>
        <v>400000</v>
      </c>
      <c r="L69" s="18">
        <f t="shared" si="118"/>
        <v>0</v>
      </c>
      <c r="M69" s="18">
        <f t="shared" si="118"/>
        <v>0</v>
      </c>
      <c r="N69" s="18">
        <f t="shared" si="118"/>
        <v>1080627</v>
      </c>
      <c r="O69" s="18">
        <f t="shared" si="118"/>
        <v>805254</v>
      </c>
      <c r="P69" s="18">
        <f t="shared" si="118"/>
        <v>0</v>
      </c>
      <c r="Q69" s="18">
        <f t="shared" si="118"/>
        <v>0</v>
      </c>
      <c r="R69" s="18">
        <f t="shared" si="118"/>
        <v>0</v>
      </c>
      <c r="S69" s="18">
        <f t="shared" si="118"/>
        <v>0</v>
      </c>
      <c r="T69" s="18">
        <f t="shared" si="118"/>
        <v>130000</v>
      </c>
      <c r="U69" s="18">
        <f t="shared" si="118"/>
        <v>498428</v>
      </c>
      <c r="V69" s="18">
        <f t="shared" si="118"/>
        <v>50000</v>
      </c>
      <c r="W69" s="18">
        <f t="shared" si="118"/>
        <v>262935</v>
      </c>
      <c r="X69" s="18">
        <f t="shared" si="118"/>
        <v>149239</v>
      </c>
      <c r="Y69" s="18">
        <f t="shared" si="118"/>
        <v>25742</v>
      </c>
      <c r="Z69" s="18">
        <f t="shared" si="118"/>
        <v>10512</v>
      </c>
      <c r="AA69" s="18">
        <f t="shared" si="118"/>
        <v>0</v>
      </c>
      <c r="AB69" s="18">
        <f t="shared" si="118"/>
        <v>0</v>
      </c>
      <c r="AC69" s="18">
        <f t="shared" si="118"/>
        <v>0</v>
      </c>
      <c r="AD69" s="18">
        <f t="shared" si="118"/>
        <v>0</v>
      </c>
      <c r="AE69" s="18">
        <f t="shared" si="118"/>
        <v>451010</v>
      </c>
      <c r="AF69" s="18">
        <f t="shared" si="118"/>
        <v>0</v>
      </c>
      <c r="AG69" s="18">
        <f t="shared" si="118"/>
        <v>0</v>
      </c>
      <c r="AH69" s="18">
        <f t="shared" si="118"/>
        <v>6689</v>
      </c>
      <c r="AI69" s="18">
        <f t="shared" si="118"/>
        <v>28523</v>
      </c>
      <c r="AJ69" s="18">
        <f t="shared" si="118"/>
        <v>0</v>
      </c>
      <c r="AK69" s="18">
        <f t="shared" si="118"/>
        <v>0</v>
      </c>
      <c r="AL69" s="18">
        <f t="shared" ref="AL69:DA69" si="119">SUM(AL70)</f>
        <v>19887</v>
      </c>
      <c r="AM69" s="18">
        <f t="shared" si="119"/>
        <v>500</v>
      </c>
      <c r="AN69" s="18">
        <f t="shared" si="119"/>
        <v>50000</v>
      </c>
      <c r="AO69" s="18">
        <f t="shared" si="119"/>
        <v>14550</v>
      </c>
      <c r="AP69" s="18">
        <f t="shared" si="119"/>
        <v>0</v>
      </c>
      <c r="AQ69" s="18"/>
      <c r="AR69" s="18">
        <f t="shared" si="119"/>
        <v>0</v>
      </c>
      <c r="AS69" s="18">
        <f t="shared" si="119"/>
        <v>169388</v>
      </c>
      <c r="AT69" s="18">
        <f t="shared" si="119"/>
        <v>33600</v>
      </c>
      <c r="AU69" s="18"/>
      <c r="AV69" s="18"/>
      <c r="AW69" s="18">
        <f t="shared" si="119"/>
        <v>0</v>
      </c>
      <c r="AX69" s="18">
        <f t="shared" si="119"/>
        <v>39089</v>
      </c>
      <c r="AY69" s="18">
        <f t="shared" si="119"/>
        <v>65880</v>
      </c>
      <c r="AZ69" s="18"/>
      <c r="BA69" s="18">
        <f t="shared" si="119"/>
        <v>22904</v>
      </c>
      <c r="BB69" s="18">
        <f t="shared" si="119"/>
        <v>0</v>
      </c>
      <c r="BC69" s="18">
        <f t="shared" si="119"/>
        <v>0</v>
      </c>
      <c r="BD69" s="18">
        <f t="shared" si="119"/>
        <v>0</v>
      </c>
      <c r="BE69" s="18">
        <f t="shared" si="119"/>
        <v>0</v>
      </c>
      <c r="BF69" s="18">
        <f t="shared" si="119"/>
        <v>0</v>
      </c>
      <c r="BG69" s="18">
        <f t="shared" si="119"/>
        <v>0</v>
      </c>
      <c r="BH69" s="18">
        <f t="shared" si="119"/>
        <v>0</v>
      </c>
      <c r="BI69" s="18">
        <f t="shared" si="119"/>
        <v>0</v>
      </c>
      <c r="BJ69" s="18">
        <f t="shared" si="119"/>
        <v>0</v>
      </c>
      <c r="BK69" s="18">
        <f t="shared" si="119"/>
        <v>0</v>
      </c>
      <c r="BL69" s="18">
        <f t="shared" si="119"/>
        <v>0</v>
      </c>
      <c r="BM69" s="18">
        <f t="shared" si="119"/>
        <v>0</v>
      </c>
      <c r="BN69" s="18">
        <f t="shared" si="119"/>
        <v>0</v>
      </c>
      <c r="BO69" s="18">
        <f t="shared" si="119"/>
        <v>0</v>
      </c>
      <c r="BP69" s="18">
        <f t="shared" si="119"/>
        <v>0</v>
      </c>
      <c r="BQ69" s="18">
        <f t="shared" si="119"/>
        <v>0</v>
      </c>
      <c r="BR69" s="18">
        <f t="shared" si="119"/>
        <v>0</v>
      </c>
      <c r="BS69" s="18">
        <f t="shared" si="119"/>
        <v>0</v>
      </c>
      <c r="BT69" s="18">
        <f t="shared" si="119"/>
        <v>0</v>
      </c>
      <c r="BU69" s="18">
        <f t="shared" si="119"/>
        <v>0</v>
      </c>
      <c r="BV69" s="18">
        <f t="shared" si="119"/>
        <v>0</v>
      </c>
      <c r="BW69" s="18">
        <f t="shared" si="119"/>
        <v>0</v>
      </c>
      <c r="BX69" s="18">
        <f t="shared" si="119"/>
        <v>0</v>
      </c>
      <c r="BY69" s="18">
        <f t="shared" si="119"/>
        <v>0</v>
      </c>
      <c r="BZ69" s="18">
        <f t="shared" si="119"/>
        <v>0</v>
      </c>
      <c r="CA69" s="18">
        <f t="shared" si="119"/>
        <v>1131405</v>
      </c>
      <c r="CB69" s="18">
        <f t="shared" si="119"/>
        <v>1131405</v>
      </c>
      <c r="CC69" s="18">
        <f t="shared" si="119"/>
        <v>420000</v>
      </c>
      <c r="CD69" s="18">
        <f t="shared" si="119"/>
        <v>0</v>
      </c>
      <c r="CE69" s="18">
        <f t="shared" si="119"/>
        <v>420000</v>
      </c>
      <c r="CF69" s="18">
        <f t="shared" si="119"/>
        <v>178179</v>
      </c>
      <c r="CG69" s="18">
        <f t="shared" si="119"/>
        <v>0</v>
      </c>
      <c r="CH69" s="18">
        <f t="shared" si="119"/>
        <v>0</v>
      </c>
      <c r="CI69" s="18">
        <f t="shared" si="119"/>
        <v>178179</v>
      </c>
      <c r="CJ69" s="18">
        <f t="shared" si="119"/>
        <v>0</v>
      </c>
      <c r="CK69" s="18">
        <f t="shared" si="119"/>
        <v>0</v>
      </c>
      <c r="CL69" s="18">
        <f t="shared" si="119"/>
        <v>533226</v>
      </c>
      <c r="CM69" s="18">
        <f t="shared" si="119"/>
        <v>0</v>
      </c>
      <c r="CN69" s="18">
        <f t="shared" si="119"/>
        <v>0</v>
      </c>
      <c r="CO69" s="18">
        <f t="shared" si="119"/>
        <v>533226</v>
      </c>
      <c r="CP69" s="18"/>
      <c r="CQ69" s="18"/>
      <c r="CR69" s="18"/>
      <c r="CS69" s="18"/>
      <c r="CT69" s="18">
        <f t="shared" si="119"/>
        <v>0</v>
      </c>
      <c r="CU69" s="18"/>
      <c r="CV69" s="18"/>
      <c r="CW69" s="18"/>
      <c r="CX69" s="18">
        <f t="shared" si="119"/>
        <v>0</v>
      </c>
      <c r="CY69" s="18">
        <f t="shared" si="119"/>
        <v>0</v>
      </c>
      <c r="CZ69" s="18">
        <f t="shared" si="119"/>
        <v>0</v>
      </c>
      <c r="DA69" s="46">
        <f t="shared" si="119"/>
        <v>0</v>
      </c>
      <c r="DB69" s="85"/>
    </row>
    <row r="70" spans="1:106" ht="15.75" x14ac:dyDescent="0.25">
      <c r="A70" s="72" t="s">
        <v>1</v>
      </c>
      <c r="B70" s="21" t="s">
        <v>166</v>
      </c>
      <c r="C70" s="22" t="s">
        <v>167</v>
      </c>
      <c r="D70" s="18">
        <f>SUM(E70+CA70+CX70)</f>
        <v>24828981</v>
      </c>
      <c r="E70" s="19">
        <f>SUM(F70+BB70)</f>
        <v>23697576</v>
      </c>
      <c r="F70" s="19">
        <f>SUM(G70+H70+I70+P70+S70+T70+U70+AE70)</f>
        <v>23697576</v>
      </c>
      <c r="G70" s="23">
        <v>19676499</v>
      </c>
      <c r="H70" s="23">
        <v>652395</v>
      </c>
      <c r="I70" s="19">
        <f t="shared" ref="I70:I143" si="120">SUM(J70:O70)</f>
        <v>2289244</v>
      </c>
      <c r="J70" s="23">
        <v>3363</v>
      </c>
      <c r="K70" s="23">
        <v>400000</v>
      </c>
      <c r="L70" s="23">
        <v>0</v>
      </c>
      <c r="M70" s="23">
        <v>0</v>
      </c>
      <c r="N70" s="23">
        <f>945627+135000</f>
        <v>1080627</v>
      </c>
      <c r="O70" s="23">
        <f>675254+130000</f>
        <v>805254</v>
      </c>
      <c r="P70" s="19">
        <f t="shared" ref="P70:P143" si="121">SUM(Q70:R70)</f>
        <v>0</v>
      </c>
      <c r="Q70" s="24"/>
      <c r="R70" s="24"/>
      <c r="S70" s="24"/>
      <c r="T70" s="23">
        <f>200000-70000</f>
        <v>130000</v>
      </c>
      <c r="U70" s="19">
        <f>SUM(V70:AC70)</f>
        <v>498428</v>
      </c>
      <c r="V70" s="23">
        <v>50000</v>
      </c>
      <c r="W70" s="23">
        <f>262325+610</f>
        <v>262935</v>
      </c>
      <c r="X70" s="23">
        <v>149239</v>
      </c>
      <c r="Y70" s="23">
        <f>25459+283</f>
        <v>25742</v>
      </c>
      <c r="Z70" s="23">
        <v>10512</v>
      </c>
      <c r="AA70" s="23">
        <v>0</v>
      </c>
      <c r="AB70" s="23">
        <v>0</v>
      </c>
      <c r="AC70" s="23">
        <v>0</v>
      </c>
      <c r="AD70" s="19">
        <v>0</v>
      </c>
      <c r="AE70" s="19">
        <f>SUM(AF70:BA70)</f>
        <v>451010</v>
      </c>
      <c r="AF70" s="19">
        <v>0</v>
      </c>
      <c r="AG70" s="19">
        <v>0</v>
      </c>
      <c r="AH70" s="23">
        <v>6689</v>
      </c>
      <c r="AI70" s="23">
        <v>28523</v>
      </c>
      <c r="AJ70" s="23">
        <v>0</v>
      </c>
      <c r="AK70" s="23">
        <v>0</v>
      </c>
      <c r="AL70" s="23">
        <f>20170-283</f>
        <v>19887</v>
      </c>
      <c r="AM70" s="23">
        <v>500</v>
      </c>
      <c r="AN70" s="23">
        <v>50000</v>
      </c>
      <c r="AO70" s="23">
        <v>14550</v>
      </c>
      <c r="AP70" s="23">
        <v>0</v>
      </c>
      <c r="AQ70" s="23"/>
      <c r="AR70" s="23">
        <v>0</v>
      </c>
      <c r="AS70" s="23">
        <f>364388-195000</f>
        <v>169388</v>
      </c>
      <c r="AT70" s="23">
        <v>33600</v>
      </c>
      <c r="AU70" s="23">
        <v>0</v>
      </c>
      <c r="AV70" s="23">
        <v>0</v>
      </c>
      <c r="AW70" s="23">
        <v>0</v>
      </c>
      <c r="AX70" s="23">
        <v>39089</v>
      </c>
      <c r="AY70" s="23">
        <v>65880</v>
      </c>
      <c r="AZ70" s="23">
        <v>0</v>
      </c>
      <c r="BA70" s="23">
        <v>22904</v>
      </c>
      <c r="BB70" s="19">
        <f>SUM(BC70+BG70+BJ70+BL70+BO70)</f>
        <v>0</v>
      </c>
      <c r="BC70" s="19">
        <f>SUM(BD70:BF70)</f>
        <v>0</v>
      </c>
      <c r="BD70" s="19">
        <v>0</v>
      </c>
      <c r="BE70" s="19">
        <v>0</v>
      </c>
      <c r="BF70" s="19">
        <v>0</v>
      </c>
      <c r="BG70" s="19">
        <f>SUM(BI70:BI70)</f>
        <v>0</v>
      </c>
      <c r="BH70" s="19">
        <v>0</v>
      </c>
      <c r="BI70" s="19">
        <v>0</v>
      </c>
      <c r="BJ70" s="19">
        <v>0</v>
      </c>
      <c r="BK70" s="19">
        <v>0</v>
      </c>
      <c r="BL70" s="19">
        <f t="shared" ref="BL70:BL143" si="122">SUM(BM70)</f>
        <v>0</v>
      </c>
      <c r="BM70" s="19">
        <v>0</v>
      </c>
      <c r="BN70" s="19">
        <v>0</v>
      </c>
      <c r="BO70" s="19">
        <f>SUM(BP70:BZ70)</f>
        <v>0</v>
      </c>
      <c r="BP70" s="19">
        <v>0</v>
      </c>
      <c r="BQ70" s="19">
        <v>0</v>
      </c>
      <c r="BR70" s="19">
        <v>0</v>
      </c>
      <c r="BS70" s="19">
        <v>0</v>
      </c>
      <c r="BT70" s="19">
        <v>0</v>
      </c>
      <c r="BU70" s="19">
        <v>0</v>
      </c>
      <c r="BV70" s="19">
        <v>0</v>
      </c>
      <c r="BW70" s="19">
        <v>0</v>
      </c>
      <c r="BX70" s="19">
        <v>0</v>
      </c>
      <c r="BY70" s="19"/>
      <c r="BZ70" s="19">
        <v>0</v>
      </c>
      <c r="CA70" s="19">
        <f>SUM(CB70+CT70)</f>
        <v>1131405</v>
      </c>
      <c r="CB70" s="19">
        <f>SUM(CC70+CF70+CL70)</f>
        <v>1131405</v>
      </c>
      <c r="CC70" s="19">
        <f t="shared" ref="CC70:CC143" si="123">SUM(CD70:CE70)</f>
        <v>420000</v>
      </c>
      <c r="CD70" s="19">
        <v>0</v>
      </c>
      <c r="CE70" s="23">
        <v>420000</v>
      </c>
      <c r="CF70" s="19">
        <f>SUM(CG70:CK70)</f>
        <v>178179</v>
      </c>
      <c r="CG70" s="19">
        <v>0</v>
      </c>
      <c r="CH70" s="19">
        <v>0</v>
      </c>
      <c r="CI70" s="19">
        <v>178179</v>
      </c>
      <c r="CJ70" s="19">
        <v>0</v>
      </c>
      <c r="CK70" s="19">
        <v>0</v>
      </c>
      <c r="CL70" s="19">
        <f>SUM(CM70:CQ70)</f>
        <v>533226</v>
      </c>
      <c r="CM70" s="24"/>
      <c r="CN70" s="24"/>
      <c r="CO70" s="19">
        <v>533226</v>
      </c>
      <c r="CP70" s="19"/>
      <c r="CQ70" s="19"/>
      <c r="CR70" s="19"/>
      <c r="CS70" s="19"/>
      <c r="CT70" s="19">
        <v>0</v>
      </c>
      <c r="CU70" s="19"/>
      <c r="CV70" s="19"/>
      <c r="CW70" s="19"/>
      <c r="CX70" s="19">
        <f t="shared" ref="CX70:CX143" si="124">SUM(CY70)</f>
        <v>0</v>
      </c>
      <c r="CY70" s="19">
        <f t="shared" ref="CY70:CY143" si="125">SUM(CZ70:DA70)</f>
        <v>0</v>
      </c>
      <c r="CZ70" s="19">
        <v>0</v>
      </c>
      <c r="DA70" s="20">
        <v>0</v>
      </c>
    </row>
    <row r="71" spans="1:106" s="86" customFormat="1" ht="31.5" x14ac:dyDescent="0.25">
      <c r="A71" s="71" t="s">
        <v>513</v>
      </c>
      <c r="B71" s="16" t="s">
        <v>1</v>
      </c>
      <c r="C71" s="17" t="s">
        <v>168</v>
      </c>
      <c r="D71" s="18">
        <f t="shared" ref="D71:AK71" si="126">SUM(D72)</f>
        <v>27732324</v>
      </c>
      <c r="E71" s="18">
        <f t="shared" si="126"/>
        <v>27078249</v>
      </c>
      <c r="F71" s="18">
        <f t="shared" si="126"/>
        <v>27068490</v>
      </c>
      <c r="G71" s="18">
        <f t="shared" si="126"/>
        <v>22614648</v>
      </c>
      <c r="H71" s="18">
        <f t="shared" si="126"/>
        <v>1242172</v>
      </c>
      <c r="I71" s="18">
        <f t="shared" si="126"/>
        <v>1912286</v>
      </c>
      <c r="J71" s="18">
        <f t="shared" si="126"/>
        <v>0</v>
      </c>
      <c r="K71" s="18">
        <f t="shared" si="126"/>
        <v>504492</v>
      </c>
      <c r="L71" s="18">
        <f t="shared" si="126"/>
        <v>0</v>
      </c>
      <c r="M71" s="18">
        <f t="shared" si="126"/>
        <v>0</v>
      </c>
      <c r="N71" s="18">
        <f t="shared" si="126"/>
        <v>923780</v>
      </c>
      <c r="O71" s="18">
        <f t="shared" si="126"/>
        <v>484014</v>
      </c>
      <c r="P71" s="18">
        <f t="shared" si="126"/>
        <v>7776</v>
      </c>
      <c r="Q71" s="18">
        <f t="shared" si="126"/>
        <v>7776</v>
      </c>
      <c r="R71" s="18">
        <f t="shared" si="126"/>
        <v>0</v>
      </c>
      <c r="S71" s="18">
        <f t="shared" si="126"/>
        <v>0</v>
      </c>
      <c r="T71" s="18">
        <f t="shared" si="126"/>
        <v>108997</v>
      </c>
      <c r="U71" s="18">
        <f t="shared" si="126"/>
        <v>517165</v>
      </c>
      <c r="V71" s="18">
        <f t="shared" si="126"/>
        <v>124799</v>
      </c>
      <c r="W71" s="18">
        <f t="shared" si="126"/>
        <v>48290</v>
      </c>
      <c r="X71" s="18">
        <f t="shared" si="126"/>
        <v>89775</v>
      </c>
      <c r="Y71" s="18">
        <f t="shared" si="126"/>
        <v>26475</v>
      </c>
      <c r="Z71" s="18">
        <f t="shared" si="126"/>
        <v>16060</v>
      </c>
      <c r="AA71" s="18">
        <f t="shared" si="126"/>
        <v>192689</v>
      </c>
      <c r="AB71" s="18">
        <f t="shared" si="126"/>
        <v>0</v>
      </c>
      <c r="AC71" s="18">
        <f t="shared" si="126"/>
        <v>19077</v>
      </c>
      <c r="AD71" s="18">
        <f t="shared" si="126"/>
        <v>0</v>
      </c>
      <c r="AE71" s="18">
        <f t="shared" si="126"/>
        <v>665446</v>
      </c>
      <c r="AF71" s="18">
        <f t="shared" si="126"/>
        <v>0</v>
      </c>
      <c r="AG71" s="18">
        <f t="shared" si="126"/>
        <v>0</v>
      </c>
      <c r="AH71" s="18">
        <f t="shared" si="126"/>
        <v>6251</v>
      </c>
      <c r="AI71" s="18">
        <f t="shared" si="126"/>
        <v>239744</v>
      </c>
      <c r="AJ71" s="18">
        <f t="shared" si="126"/>
        <v>0</v>
      </c>
      <c r="AK71" s="18">
        <f t="shared" si="126"/>
        <v>0</v>
      </c>
      <c r="AL71" s="18">
        <f t="shared" ref="AL71:DA71" si="127">SUM(AL72)</f>
        <v>0</v>
      </c>
      <c r="AM71" s="18">
        <f t="shared" si="127"/>
        <v>849</v>
      </c>
      <c r="AN71" s="18">
        <f t="shared" si="127"/>
        <v>16470</v>
      </c>
      <c r="AO71" s="18">
        <f t="shared" si="127"/>
        <v>18042</v>
      </c>
      <c r="AP71" s="18">
        <f t="shared" si="127"/>
        <v>0</v>
      </c>
      <c r="AQ71" s="18"/>
      <c r="AR71" s="18">
        <f t="shared" si="127"/>
        <v>0</v>
      </c>
      <c r="AS71" s="18">
        <f t="shared" si="127"/>
        <v>247249</v>
      </c>
      <c r="AT71" s="18">
        <f t="shared" si="127"/>
        <v>0</v>
      </c>
      <c r="AU71" s="18"/>
      <c r="AV71" s="18"/>
      <c r="AW71" s="18">
        <f t="shared" si="127"/>
        <v>0</v>
      </c>
      <c r="AX71" s="18">
        <f t="shared" si="127"/>
        <v>0</v>
      </c>
      <c r="AY71" s="18">
        <f t="shared" si="127"/>
        <v>0</v>
      </c>
      <c r="AZ71" s="18"/>
      <c r="BA71" s="18">
        <f t="shared" si="127"/>
        <v>136841</v>
      </c>
      <c r="BB71" s="18">
        <f t="shared" si="127"/>
        <v>9759</v>
      </c>
      <c r="BC71" s="18">
        <f t="shared" si="127"/>
        <v>0</v>
      </c>
      <c r="BD71" s="18">
        <f t="shared" si="127"/>
        <v>0</v>
      </c>
      <c r="BE71" s="18">
        <f t="shared" si="127"/>
        <v>0</v>
      </c>
      <c r="BF71" s="18">
        <f t="shared" si="127"/>
        <v>0</v>
      </c>
      <c r="BG71" s="18">
        <f t="shared" si="127"/>
        <v>0</v>
      </c>
      <c r="BH71" s="18">
        <f t="shared" si="127"/>
        <v>0</v>
      </c>
      <c r="BI71" s="18">
        <f t="shared" si="127"/>
        <v>0</v>
      </c>
      <c r="BJ71" s="18">
        <f t="shared" si="127"/>
        <v>0</v>
      </c>
      <c r="BK71" s="18">
        <f t="shared" si="127"/>
        <v>0</v>
      </c>
      <c r="BL71" s="18">
        <f t="shared" si="127"/>
        <v>0</v>
      </c>
      <c r="BM71" s="18">
        <f t="shared" si="127"/>
        <v>0</v>
      </c>
      <c r="BN71" s="18">
        <f t="shared" si="127"/>
        <v>0</v>
      </c>
      <c r="BO71" s="18">
        <f t="shared" si="127"/>
        <v>9759</v>
      </c>
      <c r="BP71" s="18">
        <f t="shared" si="127"/>
        <v>0</v>
      </c>
      <c r="BQ71" s="18">
        <f t="shared" si="127"/>
        <v>0</v>
      </c>
      <c r="BR71" s="18">
        <f t="shared" si="127"/>
        <v>0</v>
      </c>
      <c r="BS71" s="18">
        <f t="shared" si="127"/>
        <v>0</v>
      </c>
      <c r="BT71" s="18">
        <f t="shared" si="127"/>
        <v>0</v>
      </c>
      <c r="BU71" s="18">
        <f t="shared" si="127"/>
        <v>0</v>
      </c>
      <c r="BV71" s="18">
        <f t="shared" si="127"/>
        <v>0</v>
      </c>
      <c r="BW71" s="18">
        <f t="shared" si="127"/>
        <v>0</v>
      </c>
      <c r="BX71" s="18">
        <f t="shared" si="127"/>
        <v>0</v>
      </c>
      <c r="BY71" s="18">
        <f t="shared" si="127"/>
        <v>9759</v>
      </c>
      <c r="BZ71" s="18">
        <f t="shared" si="127"/>
        <v>0</v>
      </c>
      <c r="CA71" s="18">
        <f t="shared" si="127"/>
        <v>654075</v>
      </c>
      <c r="CB71" s="18">
        <f t="shared" si="127"/>
        <v>654075</v>
      </c>
      <c r="CC71" s="18">
        <f t="shared" si="127"/>
        <v>654075</v>
      </c>
      <c r="CD71" s="18">
        <f t="shared" si="127"/>
        <v>0</v>
      </c>
      <c r="CE71" s="18">
        <f t="shared" si="127"/>
        <v>654075</v>
      </c>
      <c r="CF71" s="18">
        <f t="shared" si="127"/>
        <v>0</v>
      </c>
      <c r="CG71" s="18">
        <f t="shared" si="127"/>
        <v>0</v>
      </c>
      <c r="CH71" s="18">
        <f t="shared" si="127"/>
        <v>0</v>
      </c>
      <c r="CI71" s="18">
        <f t="shared" si="127"/>
        <v>0</v>
      </c>
      <c r="CJ71" s="18">
        <f t="shared" si="127"/>
        <v>0</v>
      </c>
      <c r="CK71" s="18">
        <f t="shared" si="127"/>
        <v>0</v>
      </c>
      <c r="CL71" s="18">
        <f t="shared" si="127"/>
        <v>0</v>
      </c>
      <c r="CM71" s="18">
        <f t="shared" si="127"/>
        <v>0</v>
      </c>
      <c r="CN71" s="18">
        <f t="shared" si="127"/>
        <v>0</v>
      </c>
      <c r="CO71" s="18">
        <f t="shared" si="127"/>
        <v>0</v>
      </c>
      <c r="CP71" s="18"/>
      <c r="CQ71" s="18"/>
      <c r="CR71" s="18"/>
      <c r="CS71" s="18"/>
      <c r="CT71" s="18">
        <f t="shared" si="127"/>
        <v>0</v>
      </c>
      <c r="CU71" s="18"/>
      <c r="CV71" s="18"/>
      <c r="CW71" s="18"/>
      <c r="CX71" s="18">
        <f t="shared" si="127"/>
        <v>0</v>
      </c>
      <c r="CY71" s="18">
        <f t="shared" si="127"/>
        <v>0</v>
      </c>
      <c r="CZ71" s="18">
        <f t="shared" si="127"/>
        <v>0</v>
      </c>
      <c r="DA71" s="46">
        <f t="shared" si="127"/>
        <v>0</v>
      </c>
      <c r="DB71" s="85"/>
    </row>
    <row r="72" spans="1:106" ht="15.75" x14ac:dyDescent="0.25">
      <c r="A72" s="72" t="s">
        <v>1</v>
      </c>
      <c r="B72" s="21" t="s">
        <v>169</v>
      </c>
      <c r="C72" s="22" t="s">
        <v>170</v>
      </c>
      <c r="D72" s="18">
        <f>SUM(E72+CA72+CX72)</f>
        <v>27732324</v>
      </c>
      <c r="E72" s="19">
        <f>SUM(F72+BB72)</f>
        <v>27078249</v>
      </c>
      <c r="F72" s="19">
        <f>SUM(G72+H72+I72+P72+S72+T72+U72+AE72)</f>
        <v>27068490</v>
      </c>
      <c r="G72" s="23">
        <v>22614648</v>
      </c>
      <c r="H72" s="23">
        <v>1242172</v>
      </c>
      <c r="I72" s="19">
        <f t="shared" si="120"/>
        <v>1912286</v>
      </c>
      <c r="J72" s="23">
        <v>0</v>
      </c>
      <c r="K72" s="23">
        <v>504492</v>
      </c>
      <c r="L72" s="23">
        <v>0</v>
      </c>
      <c r="M72" s="23">
        <v>0</v>
      </c>
      <c r="N72" s="23">
        <f>963780-40000</f>
        <v>923780</v>
      </c>
      <c r="O72" s="23">
        <f>524014-40000</f>
        <v>484014</v>
      </c>
      <c r="P72" s="19">
        <f t="shared" si="121"/>
        <v>7776</v>
      </c>
      <c r="Q72" s="23">
        <v>7776</v>
      </c>
      <c r="R72" s="23">
        <v>0</v>
      </c>
      <c r="S72" s="23">
        <v>0</v>
      </c>
      <c r="T72" s="23">
        <f>153997-45000</f>
        <v>108997</v>
      </c>
      <c r="U72" s="19">
        <f>SUM(V72:AC72)</f>
        <v>517165</v>
      </c>
      <c r="V72" s="23">
        <v>124799</v>
      </c>
      <c r="W72" s="23">
        <f>47404+886</f>
        <v>48290</v>
      </c>
      <c r="X72" s="23">
        <v>89775</v>
      </c>
      <c r="Y72" s="23">
        <v>26475</v>
      </c>
      <c r="Z72" s="23">
        <v>16060</v>
      </c>
      <c r="AA72" s="23">
        <v>192689</v>
      </c>
      <c r="AB72" s="23">
        <v>0</v>
      </c>
      <c r="AC72" s="23">
        <v>19077</v>
      </c>
      <c r="AD72" s="19">
        <v>0</v>
      </c>
      <c r="AE72" s="19">
        <f>SUM(AF72:BA72)</f>
        <v>665446</v>
      </c>
      <c r="AF72" s="19">
        <v>0</v>
      </c>
      <c r="AG72" s="19">
        <v>0</v>
      </c>
      <c r="AH72" s="23">
        <v>6251</v>
      </c>
      <c r="AI72" s="23">
        <f>279744-40000</f>
        <v>239744</v>
      </c>
      <c r="AJ72" s="23">
        <v>0</v>
      </c>
      <c r="AK72" s="23">
        <v>0</v>
      </c>
      <c r="AL72" s="23">
        <v>0</v>
      </c>
      <c r="AM72" s="23">
        <v>849</v>
      </c>
      <c r="AN72" s="23">
        <v>16470</v>
      </c>
      <c r="AO72" s="23">
        <v>18042</v>
      </c>
      <c r="AP72" s="23">
        <v>0</v>
      </c>
      <c r="AQ72" s="23"/>
      <c r="AR72" s="23">
        <v>0</v>
      </c>
      <c r="AS72" s="23">
        <v>247249</v>
      </c>
      <c r="AT72" s="23">
        <v>0</v>
      </c>
      <c r="AU72" s="23">
        <v>0</v>
      </c>
      <c r="AV72" s="23">
        <v>0</v>
      </c>
      <c r="AW72" s="23">
        <v>0</v>
      </c>
      <c r="AX72" s="23">
        <v>0</v>
      </c>
      <c r="AY72" s="23">
        <v>0</v>
      </c>
      <c r="AZ72" s="23">
        <v>0</v>
      </c>
      <c r="BA72" s="23">
        <f>166841-30000</f>
        <v>136841</v>
      </c>
      <c r="BB72" s="19">
        <f>SUM(BC72+BG72+BJ72+BL72+BO72)</f>
        <v>9759</v>
      </c>
      <c r="BC72" s="19">
        <f>SUM(BD72:BF72)</f>
        <v>0</v>
      </c>
      <c r="BD72" s="19">
        <v>0</v>
      </c>
      <c r="BE72" s="19">
        <v>0</v>
      </c>
      <c r="BF72" s="19">
        <v>0</v>
      </c>
      <c r="BG72" s="19">
        <f>SUM(BI72:BI72)</f>
        <v>0</v>
      </c>
      <c r="BH72" s="19">
        <v>0</v>
      </c>
      <c r="BI72" s="19">
        <v>0</v>
      </c>
      <c r="BJ72" s="19">
        <v>0</v>
      </c>
      <c r="BK72" s="19">
        <v>0</v>
      </c>
      <c r="BL72" s="19">
        <f t="shared" si="122"/>
        <v>0</v>
      </c>
      <c r="BM72" s="19">
        <v>0</v>
      </c>
      <c r="BN72" s="19">
        <v>0</v>
      </c>
      <c r="BO72" s="19">
        <f>SUM(BP72:BZ72)</f>
        <v>9759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9759</v>
      </c>
      <c r="BZ72" s="19">
        <v>0</v>
      </c>
      <c r="CA72" s="19">
        <f>SUM(CB72+CT72)</f>
        <v>654075</v>
      </c>
      <c r="CB72" s="19">
        <f>SUM(CC72+CF72+CL72)</f>
        <v>654075</v>
      </c>
      <c r="CC72" s="19">
        <f t="shared" si="123"/>
        <v>654075</v>
      </c>
      <c r="CD72" s="19">
        <v>0</v>
      </c>
      <c r="CE72" s="23">
        <v>654075</v>
      </c>
      <c r="CF72" s="19">
        <f>SUM(CG72:CK72)</f>
        <v>0</v>
      </c>
      <c r="CG72" s="19">
        <v>0</v>
      </c>
      <c r="CH72" s="19">
        <v>0</v>
      </c>
      <c r="CI72" s="23"/>
      <c r="CJ72" s="23"/>
      <c r="CK72" s="23"/>
      <c r="CL72" s="19">
        <f>SUM(CM72:CQ72)</f>
        <v>0</v>
      </c>
      <c r="CM72" s="19"/>
      <c r="CN72" s="19"/>
      <c r="CO72" s="23">
        <f>243683-243683</f>
        <v>0</v>
      </c>
      <c r="CP72" s="19"/>
      <c r="CQ72" s="19"/>
      <c r="CR72" s="19"/>
      <c r="CS72" s="19"/>
      <c r="CT72" s="19">
        <v>0</v>
      </c>
      <c r="CU72" s="19"/>
      <c r="CV72" s="19"/>
      <c r="CW72" s="19"/>
      <c r="CX72" s="19">
        <f t="shared" si="124"/>
        <v>0</v>
      </c>
      <c r="CY72" s="19">
        <f t="shared" si="125"/>
        <v>0</v>
      </c>
      <c r="CZ72" s="19">
        <v>0</v>
      </c>
      <c r="DA72" s="20">
        <v>0</v>
      </c>
    </row>
    <row r="73" spans="1:106" s="86" customFormat="1" ht="15.75" x14ac:dyDescent="0.25">
      <c r="A73" s="71" t="s">
        <v>171</v>
      </c>
      <c r="B73" s="16" t="s">
        <v>1</v>
      </c>
      <c r="C73" s="17" t="s">
        <v>172</v>
      </c>
      <c r="D73" s="18">
        <f t="shared" ref="D73:AK75" si="128">SUM(D74)</f>
        <v>9511258</v>
      </c>
      <c r="E73" s="18">
        <f t="shared" si="128"/>
        <v>9280722</v>
      </c>
      <c r="F73" s="18">
        <f t="shared" si="128"/>
        <v>9280722</v>
      </c>
      <c r="G73" s="18">
        <f t="shared" si="128"/>
        <v>6927367</v>
      </c>
      <c r="H73" s="18">
        <f t="shared" si="128"/>
        <v>1570272</v>
      </c>
      <c r="I73" s="18">
        <f t="shared" si="128"/>
        <v>388426</v>
      </c>
      <c r="J73" s="18">
        <f t="shared" si="128"/>
        <v>0</v>
      </c>
      <c r="K73" s="18">
        <f t="shared" si="128"/>
        <v>0</v>
      </c>
      <c r="L73" s="18">
        <f t="shared" si="128"/>
        <v>0</v>
      </c>
      <c r="M73" s="18">
        <f t="shared" si="128"/>
        <v>0</v>
      </c>
      <c r="N73" s="18">
        <v>323324</v>
      </c>
      <c r="O73" s="18">
        <v>65102</v>
      </c>
      <c r="P73" s="18">
        <f t="shared" si="128"/>
        <v>0</v>
      </c>
      <c r="Q73" s="18">
        <f t="shared" si="128"/>
        <v>0</v>
      </c>
      <c r="R73" s="18">
        <f t="shared" si="128"/>
        <v>0</v>
      </c>
      <c r="S73" s="18">
        <f t="shared" si="128"/>
        <v>0</v>
      </c>
      <c r="T73" s="18">
        <f t="shared" si="128"/>
        <v>98422</v>
      </c>
      <c r="U73" s="18">
        <f t="shared" si="128"/>
        <v>138761</v>
      </c>
      <c r="V73" s="18">
        <f t="shared" si="128"/>
        <v>0</v>
      </c>
      <c r="W73" s="18">
        <f t="shared" si="128"/>
        <v>87903</v>
      </c>
      <c r="X73" s="18">
        <f t="shared" si="128"/>
        <v>37655</v>
      </c>
      <c r="Y73" s="18">
        <f t="shared" si="128"/>
        <v>7284</v>
      </c>
      <c r="Z73" s="18">
        <f t="shared" si="128"/>
        <v>5919</v>
      </c>
      <c r="AA73" s="18">
        <f t="shared" si="128"/>
        <v>0</v>
      </c>
      <c r="AB73" s="18">
        <f t="shared" si="128"/>
        <v>0</v>
      </c>
      <c r="AC73" s="18">
        <f t="shared" si="128"/>
        <v>0</v>
      </c>
      <c r="AD73" s="18">
        <f t="shared" si="128"/>
        <v>0</v>
      </c>
      <c r="AE73" s="18">
        <f t="shared" si="128"/>
        <v>157474</v>
      </c>
      <c r="AF73" s="18">
        <f t="shared" si="128"/>
        <v>0</v>
      </c>
      <c r="AG73" s="18">
        <f t="shared" si="128"/>
        <v>0</v>
      </c>
      <c r="AH73" s="18">
        <f t="shared" si="128"/>
        <v>11997</v>
      </c>
      <c r="AI73" s="18">
        <f t="shared" si="128"/>
        <v>116876</v>
      </c>
      <c r="AJ73" s="18">
        <f t="shared" si="128"/>
        <v>0</v>
      </c>
      <c r="AK73" s="18">
        <f t="shared" si="128"/>
        <v>0</v>
      </c>
      <c r="AL73" s="18">
        <f t="shared" ref="AL73:CZ75" si="129">SUM(AL74)</f>
        <v>0</v>
      </c>
      <c r="AM73" s="18">
        <f t="shared" si="129"/>
        <v>0</v>
      </c>
      <c r="AN73" s="18">
        <f t="shared" si="129"/>
        <v>0</v>
      </c>
      <c r="AO73" s="18">
        <f t="shared" si="129"/>
        <v>12000</v>
      </c>
      <c r="AP73" s="18">
        <f t="shared" si="129"/>
        <v>0</v>
      </c>
      <c r="AQ73" s="18"/>
      <c r="AR73" s="18">
        <f t="shared" si="129"/>
        <v>0</v>
      </c>
      <c r="AS73" s="18">
        <f t="shared" si="129"/>
        <v>16601</v>
      </c>
      <c r="AT73" s="18">
        <f t="shared" si="129"/>
        <v>0</v>
      </c>
      <c r="AU73" s="18"/>
      <c r="AV73" s="18"/>
      <c r="AW73" s="18">
        <f t="shared" si="129"/>
        <v>0</v>
      </c>
      <c r="AX73" s="18">
        <f t="shared" si="129"/>
        <v>0</v>
      </c>
      <c r="AY73" s="18">
        <f t="shared" si="129"/>
        <v>0</v>
      </c>
      <c r="AZ73" s="18"/>
      <c r="BA73" s="18">
        <f t="shared" si="129"/>
        <v>0</v>
      </c>
      <c r="BB73" s="18">
        <f t="shared" si="129"/>
        <v>0</v>
      </c>
      <c r="BC73" s="18">
        <f t="shared" si="129"/>
        <v>0</v>
      </c>
      <c r="BD73" s="18">
        <f t="shared" si="129"/>
        <v>0</v>
      </c>
      <c r="BE73" s="18">
        <f t="shared" si="129"/>
        <v>0</v>
      </c>
      <c r="BF73" s="18">
        <f t="shared" si="129"/>
        <v>0</v>
      </c>
      <c r="BG73" s="18">
        <f t="shared" si="129"/>
        <v>0</v>
      </c>
      <c r="BH73" s="18">
        <f t="shared" si="129"/>
        <v>0</v>
      </c>
      <c r="BI73" s="18">
        <f t="shared" si="129"/>
        <v>0</v>
      </c>
      <c r="BJ73" s="18">
        <f t="shared" si="129"/>
        <v>0</v>
      </c>
      <c r="BK73" s="18">
        <f t="shared" si="129"/>
        <v>0</v>
      </c>
      <c r="BL73" s="18">
        <f t="shared" si="129"/>
        <v>0</v>
      </c>
      <c r="BM73" s="18">
        <f t="shared" si="129"/>
        <v>0</v>
      </c>
      <c r="BN73" s="18">
        <f t="shared" si="129"/>
        <v>0</v>
      </c>
      <c r="BO73" s="18">
        <f t="shared" si="129"/>
        <v>0</v>
      </c>
      <c r="BP73" s="18">
        <f t="shared" si="129"/>
        <v>0</v>
      </c>
      <c r="BQ73" s="18">
        <f t="shared" si="129"/>
        <v>0</v>
      </c>
      <c r="BR73" s="18">
        <f t="shared" si="129"/>
        <v>0</v>
      </c>
      <c r="BS73" s="18">
        <f t="shared" si="129"/>
        <v>0</v>
      </c>
      <c r="BT73" s="18">
        <f t="shared" si="129"/>
        <v>0</v>
      </c>
      <c r="BU73" s="18">
        <f t="shared" si="129"/>
        <v>0</v>
      </c>
      <c r="BV73" s="18">
        <f t="shared" si="129"/>
        <v>0</v>
      </c>
      <c r="BW73" s="18">
        <f t="shared" si="129"/>
        <v>0</v>
      </c>
      <c r="BX73" s="18">
        <f t="shared" si="129"/>
        <v>0</v>
      </c>
      <c r="BY73" s="18">
        <f t="shared" si="129"/>
        <v>0</v>
      </c>
      <c r="BZ73" s="18">
        <f t="shared" si="129"/>
        <v>0</v>
      </c>
      <c r="CA73" s="18">
        <f t="shared" si="129"/>
        <v>230536</v>
      </c>
      <c r="CB73" s="18">
        <f t="shared" si="129"/>
        <v>230536</v>
      </c>
      <c r="CC73" s="18">
        <f t="shared" si="129"/>
        <v>230536</v>
      </c>
      <c r="CD73" s="18">
        <f t="shared" si="129"/>
        <v>0</v>
      </c>
      <c r="CE73" s="18">
        <f t="shared" si="129"/>
        <v>230536</v>
      </c>
      <c r="CF73" s="18">
        <f t="shared" si="129"/>
        <v>0</v>
      </c>
      <c r="CG73" s="18">
        <f t="shared" si="129"/>
        <v>0</v>
      </c>
      <c r="CH73" s="18">
        <f t="shared" si="129"/>
        <v>0</v>
      </c>
      <c r="CI73" s="18">
        <f t="shared" si="129"/>
        <v>0</v>
      </c>
      <c r="CJ73" s="18">
        <f t="shared" si="129"/>
        <v>0</v>
      </c>
      <c r="CK73" s="18">
        <f t="shared" si="129"/>
        <v>0</v>
      </c>
      <c r="CL73" s="18">
        <f t="shared" si="129"/>
        <v>0</v>
      </c>
      <c r="CM73" s="18">
        <f t="shared" si="129"/>
        <v>0</v>
      </c>
      <c r="CN73" s="18">
        <f t="shared" si="129"/>
        <v>0</v>
      </c>
      <c r="CO73" s="18">
        <f t="shared" si="129"/>
        <v>0</v>
      </c>
      <c r="CP73" s="18"/>
      <c r="CQ73" s="18"/>
      <c r="CR73" s="18"/>
      <c r="CS73" s="18"/>
      <c r="CT73" s="18">
        <f t="shared" si="129"/>
        <v>0</v>
      </c>
      <c r="CU73" s="18"/>
      <c r="CV73" s="18"/>
      <c r="CW73" s="18"/>
      <c r="CX73" s="18">
        <f t="shared" si="129"/>
        <v>0</v>
      </c>
      <c r="CY73" s="18">
        <f t="shared" si="129"/>
        <v>0</v>
      </c>
      <c r="CZ73" s="18">
        <f t="shared" si="129"/>
        <v>0</v>
      </c>
      <c r="DA73" s="46">
        <f t="shared" ref="DA73:DA75" si="130">SUM(DA74)</f>
        <v>0</v>
      </c>
      <c r="DB73" s="85"/>
    </row>
    <row r="74" spans="1:106" ht="15.75" x14ac:dyDescent="0.25">
      <c r="A74" s="72" t="s">
        <v>1</v>
      </c>
      <c r="B74" s="21" t="s">
        <v>173</v>
      </c>
      <c r="C74" s="22" t="s">
        <v>174</v>
      </c>
      <c r="D74" s="18">
        <f>SUM(E74+CA74+CX74)</f>
        <v>9511258</v>
      </c>
      <c r="E74" s="19">
        <f>SUM(F74+BB74)</f>
        <v>9280722</v>
      </c>
      <c r="F74" s="19">
        <f>SUM(G74+H74+I74+P74+S74+T74+U74+AE74)</f>
        <v>9280722</v>
      </c>
      <c r="G74" s="23">
        <v>6927367</v>
      </c>
      <c r="H74" s="23">
        <v>1570272</v>
      </c>
      <c r="I74" s="19">
        <f t="shared" si="120"/>
        <v>388426</v>
      </c>
      <c r="J74" s="19">
        <v>0</v>
      </c>
      <c r="K74" s="19">
        <v>0</v>
      </c>
      <c r="L74" s="19">
        <v>0</v>
      </c>
      <c r="M74" s="19">
        <v>0</v>
      </c>
      <c r="N74" s="23">
        <v>323324</v>
      </c>
      <c r="O74" s="23">
        <v>65102</v>
      </c>
      <c r="P74" s="19">
        <f t="shared" si="121"/>
        <v>0</v>
      </c>
      <c r="Q74" s="19">
        <v>0</v>
      </c>
      <c r="R74" s="19">
        <v>0</v>
      </c>
      <c r="S74" s="19">
        <v>0</v>
      </c>
      <c r="T74" s="23">
        <f>103941-3700-1819</f>
        <v>98422</v>
      </c>
      <c r="U74" s="19">
        <f>SUM(V74:AC74)</f>
        <v>138761</v>
      </c>
      <c r="V74" s="23">
        <v>0</v>
      </c>
      <c r="W74" s="23">
        <f>86084+1819</f>
        <v>87903</v>
      </c>
      <c r="X74" s="23">
        <v>37655</v>
      </c>
      <c r="Y74" s="23">
        <v>7284</v>
      </c>
      <c r="Z74" s="23">
        <v>5919</v>
      </c>
      <c r="AA74" s="23">
        <v>0</v>
      </c>
      <c r="AB74" s="23">
        <v>0</v>
      </c>
      <c r="AC74" s="23">
        <v>0</v>
      </c>
      <c r="AD74" s="19">
        <v>0</v>
      </c>
      <c r="AE74" s="19">
        <f>SUM(AF74:BA74)</f>
        <v>157474</v>
      </c>
      <c r="AF74" s="19">
        <v>0</v>
      </c>
      <c r="AG74" s="19">
        <v>0</v>
      </c>
      <c r="AH74" s="23">
        <v>11997</v>
      </c>
      <c r="AI74" s="23">
        <v>116876</v>
      </c>
      <c r="AJ74" s="23">
        <v>0</v>
      </c>
      <c r="AK74" s="23">
        <v>0</v>
      </c>
      <c r="AL74" s="23">
        <v>0</v>
      </c>
      <c r="AM74" s="23">
        <v>0</v>
      </c>
      <c r="AN74" s="23">
        <v>0</v>
      </c>
      <c r="AO74" s="23">
        <f>15627-3627</f>
        <v>12000</v>
      </c>
      <c r="AP74" s="23">
        <v>0</v>
      </c>
      <c r="AQ74" s="23"/>
      <c r="AR74" s="23">
        <v>0</v>
      </c>
      <c r="AS74" s="23">
        <v>16601</v>
      </c>
      <c r="AT74" s="23">
        <v>0</v>
      </c>
      <c r="AU74" s="23">
        <v>0</v>
      </c>
      <c r="AV74" s="23">
        <v>0</v>
      </c>
      <c r="AW74" s="23">
        <v>0</v>
      </c>
      <c r="AX74" s="23">
        <v>0</v>
      </c>
      <c r="AY74" s="23">
        <v>0</v>
      </c>
      <c r="AZ74" s="23">
        <v>0</v>
      </c>
      <c r="BA74" s="23">
        <v>0</v>
      </c>
      <c r="BB74" s="19">
        <f>SUM(BC74+BG74+BJ74+BL74+BO74)</f>
        <v>0</v>
      </c>
      <c r="BC74" s="19">
        <f>SUM(BD74:BF74)</f>
        <v>0</v>
      </c>
      <c r="BD74" s="19">
        <v>0</v>
      </c>
      <c r="BE74" s="19">
        <v>0</v>
      </c>
      <c r="BF74" s="19">
        <v>0</v>
      </c>
      <c r="BG74" s="19">
        <f>SUM(BI74:BI74)</f>
        <v>0</v>
      </c>
      <c r="BH74" s="19">
        <v>0</v>
      </c>
      <c r="BI74" s="19">
        <v>0</v>
      </c>
      <c r="BJ74" s="19">
        <v>0</v>
      </c>
      <c r="BK74" s="19">
        <v>0</v>
      </c>
      <c r="BL74" s="19">
        <f t="shared" si="122"/>
        <v>0</v>
      </c>
      <c r="BM74" s="19">
        <v>0</v>
      </c>
      <c r="BN74" s="19">
        <v>0</v>
      </c>
      <c r="BO74" s="19">
        <f>SUM(BP74:BZ74)</f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  <c r="BU74" s="19">
        <v>0</v>
      </c>
      <c r="BV74" s="19">
        <v>0</v>
      </c>
      <c r="BW74" s="19">
        <v>0</v>
      </c>
      <c r="BX74" s="19">
        <v>0</v>
      </c>
      <c r="BY74" s="19">
        <f>6518-6518</f>
        <v>0</v>
      </c>
      <c r="BZ74" s="19">
        <v>0</v>
      </c>
      <c r="CA74" s="19">
        <f>SUM(CB74+CT74)</f>
        <v>230536</v>
      </c>
      <c r="CB74" s="19">
        <f>SUM(CC74+CF74+CL74)</f>
        <v>230536</v>
      </c>
      <c r="CC74" s="19">
        <f t="shared" si="123"/>
        <v>230536</v>
      </c>
      <c r="CD74" s="19">
        <v>0</v>
      </c>
      <c r="CE74" s="23">
        <v>230536</v>
      </c>
      <c r="CF74" s="19">
        <f>SUM(CG74:CK74)</f>
        <v>0</v>
      </c>
      <c r="CG74" s="19">
        <v>0</v>
      </c>
      <c r="CH74" s="19">
        <v>0</v>
      </c>
      <c r="CI74" s="19">
        <v>0</v>
      </c>
      <c r="CJ74" s="19">
        <v>0</v>
      </c>
      <c r="CK74" s="19">
        <v>0</v>
      </c>
      <c r="CL74" s="19">
        <f>SUM(CM74:CQ74)</f>
        <v>0</v>
      </c>
      <c r="CM74" s="19">
        <v>0</v>
      </c>
      <c r="CN74" s="19">
        <v>0</v>
      </c>
      <c r="CO74" s="19">
        <v>0</v>
      </c>
      <c r="CP74" s="19"/>
      <c r="CQ74" s="19"/>
      <c r="CR74" s="19"/>
      <c r="CS74" s="19"/>
      <c r="CT74" s="19">
        <v>0</v>
      </c>
      <c r="CU74" s="19"/>
      <c r="CV74" s="19"/>
      <c r="CW74" s="19"/>
      <c r="CX74" s="19">
        <f t="shared" si="124"/>
        <v>0</v>
      </c>
      <c r="CY74" s="19">
        <f t="shared" si="125"/>
        <v>0</v>
      </c>
      <c r="CZ74" s="19">
        <v>0</v>
      </c>
      <c r="DA74" s="20">
        <v>0</v>
      </c>
    </row>
    <row r="75" spans="1:106" s="86" customFormat="1" ht="15.75" x14ac:dyDescent="0.25">
      <c r="A75" s="71" t="s">
        <v>175</v>
      </c>
      <c r="B75" s="16" t="s">
        <v>1</v>
      </c>
      <c r="C75" s="30" t="s">
        <v>357</v>
      </c>
      <c r="D75" s="18">
        <f t="shared" si="128"/>
        <v>72103655</v>
      </c>
      <c r="E75" s="18">
        <f t="shared" si="128"/>
        <v>66859927</v>
      </c>
      <c r="F75" s="18">
        <f t="shared" si="128"/>
        <v>65577777</v>
      </c>
      <c r="G75" s="18">
        <f t="shared" si="128"/>
        <v>35749463</v>
      </c>
      <c r="H75" s="18">
        <f t="shared" si="128"/>
        <v>318016</v>
      </c>
      <c r="I75" s="18">
        <f t="shared" si="128"/>
        <v>6409077</v>
      </c>
      <c r="J75" s="18">
        <f t="shared" si="128"/>
        <v>128138</v>
      </c>
      <c r="K75" s="18">
        <f t="shared" si="128"/>
        <v>2200050</v>
      </c>
      <c r="L75" s="18">
        <f t="shared" si="128"/>
        <v>0</v>
      </c>
      <c r="M75" s="18">
        <f t="shared" si="128"/>
        <v>35020</v>
      </c>
      <c r="N75" s="18">
        <f t="shared" si="128"/>
        <v>3250060</v>
      </c>
      <c r="O75" s="18">
        <f t="shared" si="128"/>
        <v>795809</v>
      </c>
      <c r="P75" s="18">
        <f t="shared" si="128"/>
        <v>60887</v>
      </c>
      <c r="Q75" s="18">
        <f t="shared" si="128"/>
        <v>60887</v>
      </c>
      <c r="R75" s="18">
        <f t="shared" si="128"/>
        <v>0</v>
      </c>
      <c r="S75" s="18">
        <f t="shared" si="128"/>
        <v>36654</v>
      </c>
      <c r="T75" s="18">
        <f t="shared" si="128"/>
        <v>406198</v>
      </c>
      <c r="U75" s="18">
        <f t="shared" si="128"/>
        <v>1078071</v>
      </c>
      <c r="V75" s="18">
        <f t="shared" si="128"/>
        <v>154903</v>
      </c>
      <c r="W75" s="18">
        <f t="shared" si="128"/>
        <v>3826</v>
      </c>
      <c r="X75" s="18">
        <f t="shared" si="128"/>
        <v>728033</v>
      </c>
      <c r="Y75" s="18">
        <f t="shared" si="128"/>
        <v>52392</v>
      </c>
      <c r="Z75" s="18">
        <f t="shared" si="128"/>
        <v>68788</v>
      </c>
      <c r="AA75" s="18">
        <f t="shared" si="128"/>
        <v>18000</v>
      </c>
      <c r="AB75" s="18">
        <f t="shared" si="128"/>
        <v>0</v>
      </c>
      <c r="AC75" s="18">
        <f t="shared" si="128"/>
        <v>52129</v>
      </c>
      <c r="AD75" s="18">
        <f t="shared" si="128"/>
        <v>0</v>
      </c>
      <c r="AE75" s="18">
        <f t="shared" si="128"/>
        <v>21519411</v>
      </c>
      <c r="AF75" s="18">
        <f t="shared" si="128"/>
        <v>0</v>
      </c>
      <c r="AG75" s="18">
        <f t="shared" si="128"/>
        <v>0</v>
      </c>
      <c r="AH75" s="18">
        <f t="shared" si="128"/>
        <v>128131</v>
      </c>
      <c r="AI75" s="18">
        <f t="shared" si="128"/>
        <v>200000</v>
      </c>
      <c r="AJ75" s="18">
        <f t="shared" si="128"/>
        <v>0</v>
      </c>
      <c r="AK75" s="18">
        <f t="shared" si="128"/>
        <v>1897</v>
      </c>
      <c r="AL75" s="18">
        <f t="shared" si="129"/>
        <v>3000</v>
      </c>
      <c r="AM75" s="18">
        <f t="shared" si="129"/>
        <v>2286</v>
      </c>
      <c r="AN75" s="18">
        <f t="shared" si="129"/>
        <v>13000</v>
      </c>
      <c r="AO75" s="18">
        <f t="shared" si="129"/>
        <v>13386</v>
      </c>
      <c r="AP75" s="18">
        <f t="shared" si="129"/>
        <v>0</v>
      </c>
      <c r="AQ75" s="18"/>
      <c r="AR75" s="18">
        <f t="shared" si="129"/>
        <v>74250</v>
      </c>
      <c r="AS75" s="18">
        <f t="shared" si="129"/>
        <v>0</v>
      </c>
      <c r="AT75" s="18">
        <f t="shared" si="129"/>
        <v>0</v>
      </c>
      <c r="AU75" s="18"/>
      <c r="AV75" s="18"/>
      <c r="AW75" s="18">
        <f t="shared" si="129"/>
        <v>0</v>
      </c>
      <c r="AX75" s="18">
        <f t="shared" si="129"/>
        <v>19287313</v>
      </c>
      <c r="AY75" s="18">
        <f t="shared" si="129"/>
        <v>286800</v>
      </c>
      <c r="AZ75" s="18">
        <f t="shared" si="129"/>
        <v>1049723</v>
      </c>
      <c r="BA75" s="18">
        <f t="shared" si="129"/>
        <v>459625</v>
      </c>
      <c r="BB75" s="18">
        <f t="shared" si="129"/>
        <v>1282150</v>
      </c>
      <c r="BC75" s="18">
        <f t="shared" si="129"/>
        <v>0</v>
      </c>
      <c r="BD75" s="18">
        <f t="shared" si="129"/>
        <v>0</v>
      </c>
      <c r="BE75" s="18">
        <f t="shared" si="129"/>
        <v>0</v>
      </c>
      <c r="BF75" s="18">
        <f t="shared" si="129"/>
        <v>0</v>
      </c>
      <c r="BG75" s="18">
        <f t="shared" si="129"/>
        <v>0</v>
      </c>
      <c r="BH75" s="18">
        <f t="shared" si="129"/>
        <v>0</v>
      </c>
      <c r="BI75" s="18">
        <f t="shared" si="129"/>
        <v>0</v>
      </c>
      <c r="BJ75" s="18">
        <f t="shared" si="129"/>
        <v>0</v>
      </c>
      <c r="BK75" s="18">
        <f t="shared" si="129"/>
        <v>0</v>
      </c>
      <c r="BL75" s="18">
        <f t="shared" si="129"/>
        <v>283150</v>
      </c>
      <c r="BM75" s="18">
        <f t="shared" si="129"/>
        <v>283150</v>
      </c>
      <c r="BN75" s="18">
        <f t="shared" si="129"/>
        <v>0</v>
      </c>
      <c r="BO75" s="18">
        <f t="shared" si="129"/>
        <v>999000</v>
      </c>
      <c r="BP75" s="18">
        <f t="shared" si="129"/>
        <v>0</v>
      </c>
      <c r="BQ75" s="18">
        <f t="shared" si="129"/>
        <v>0</v>
      </c>
      <c r="BR75" s="18">
        <f t="shared" si="129"/>
        <v>0</v>
      </c>
      <c r="BS75" s="18">
        <f t="shared" si="129"/>
        <v>0</v>
      </c>
      <c r="BT75" s="18">
        <f t="shared" si="129"/>
        <v>0</v>
      </c>
      <c r="BU75" s="18">
        <f t="shared" si="129"/>
        <v>0</v>
      </c>
      <c r="BV75" s="18">
        <f t="shared" si="129"/>
        <v>0</v>
      </c>
      <c r="BW75" s="18">
        <f t="shared" si="129"/>
        <v>0</v>
      </c>
      <c r="BX75" s="18">
        <f t="shared" si="129"/>
        <v>0</v>
      </c>
      <c r="BY75" s="18">
        <f t="shared" si="129"/>
        <v>999000</v>
      </c>
      <c r="BZ75" s="18">
        <f t="shared" si="129"/>
        <v>0</v>
      </c>
      <c r="CA75" s="18">
        <f t="shared" si="129"/>
        <v>5243728</v>
      </c>
      <c r="CB75" s="18">
        <f t="shared" si="129"/>
        <v>5243728</v>
      </c>
      <c r="CC75" s="18">
        <f t="shared" si="129"/>
        <v>2822191</v>
      </c>
      <c r="CD75" s="18">
        <f t="shared" si="129"/>
        <v>0</v>
      </c>
      <c r="CE75" s="18">
        <f t="shared" si="129"/>
        <v>2822191</v>
      </c>
      <c r="CF75" s="18">
        <f t="shared" si="129"/>
        <v>1595500</v>
      </c>
      <c r="CG75" s="18">
        <f t="shared" si="129"/>
        <v>0</v>
      </c>
      <c r="CH75" s="18">
        <f t="shared" si="129"/>
        <v>0</v>
      </c>
      <c r="CI75" s="18">
        <f t="shared" si="129"/>
        <v>795500</v>
      </c>
      <c r="CJ75" s="18">
        <f t="shared" si="129"/>
        <v>0</v>
      </c>
      <c r="CK75" s="18">
        <f t="shared" si="129"/>
        <v>800000</v>
      </c>
      <c r="CL75" s="18">
        <f t="shared" si="129"/>
        <v>826037</v>
      </c>
      <c r="CM75" s="18">
        <f t="shared" si="129"/>
        <v>0</v>
      </c>
      <c r="CN75" s="18">
        <f t="shared" si="129"/>
        <v>0</v>
      </c>
      <c r="CO75" s="18">
        <f t="shared" si="129"/>
        <v>826037</v>
      </c>
      <c r="CP75" s="18"/>
      <c r="CQ75" s="18"/>
      <c r="CR75" s="18"/>
      <c r="CS75" s="18"/>
      <c r="CT75" s="18">
        <f t="shared" si="129"/>
        <v>0</v>
      </c>
      <c r="CU75" s="18"/>
      <c r="CV75" s="18"/>
      <c r="CW75" s="18"/>
      <c r="CX75" s="18">
        <f t="shared" si="129"/>
        <v>0</v>
      </c>
      <c r="CY75" s="18">
        <f t="shared" si="129"/>
        <v>0</v>
      </c>
      <c r="CZ75" s="18">
        <f t="shared" si="129"/>
        <v>0</v>
      </c>
      <c r="DA75" s="46">
        <f t="shared" si="130"/>
        <v>0</v>
      </c>
      <c r="DB75" s="85"/>
    </row>
    <row r="76" spans="1:106" ht="15.75" x14ac:dyDescent="0.25">
      <c r="A76" s="72" t="s">
        <v>1</v>
      </c>
      <c r="B76" s="21" t="s">
        <v>176</v>
      </c>
      <c r="C76" s="31" t="s">
        <v>177</v>
      </c>
      <c r="D76" s="18">
        <f>SUM(E76+CA76+CX76)</f>
        <v>72103655</v>
      </c>
      <c r="E76" s="19">
        <f>SUM(F76+BB76)</f>
        <v>66859927</v>
      </c>
      <c r="F76" s="19">
        <f>SUM(G76+H76+I76+P76+S76+T76+U76+AE76)</f>
        <v>65577777</v>
      </c>
      <c r="G76" s="23">
        <v>35749463</v>
      </c>
      <c r="H76" s="23">
        <f>421016-103000</f>
        <v>318016</v>
      </c>
      <c r="I76" s="19">
        <f t="shared" ref="I76" si="131">SUM(J76:O76)</f>
        <v>6409077</v>
      </c>
      <c r="J76" s="23">
        <v>128138</v>
      </c>
      <c r="K76" s="23">
        <v>2200050</v>
      </c>
      <c r="L76" s="23">
        <v>0</v>
      </c>
      <c r="M76" s="23">
        <v>35020</v>
      </c>
      <c r="N76" s="23">
        <v>3250060</v>
      </c>
      <c r="O76" s="23">
        <v>795809</v>
      </c>
      <c r="P76" s="19">
        <f t="shared" ref="P76" si="132">SUM(Q76:R76)</f>
        <v>60887</v>
      </c>
      <c r="Q76" s="23">
        <v>60887</v>
      </c>
      <c r="R76" s="23">
        <v>0</v>
      </c>
      <c r="S76" s="23">
        <v>36654</v>
      </c>
      <c r="T76" s="23">
        <f>416198-10000</f>
        <v>406198</v>
      </c>
      <c r="U76" s="19">
        <f>SUM(V76:AC76)</f>
        <v>1078071</v>
      </c>
      <c r="V76" s="23">
        <v>154903</v>
      </c>
      <c r="W76" s="23">
        <v>3826</v>
      </c>
      <c r="X76" s="23">
        <f>736813-8780</f>
        <v>728033</v>
      </c>
      <c r="Y76" s="23">
        <v>52392</v>
      </c>
      <c r="Z76" s="23">
        <v>68788</v>
      </c>
      <c r="AA76" s="23">
        <v>18000</v>
      </c>
      <c r="AB76" s="23">
        <v>0</v>
      </c>
      <c r="AC76" s="23">
        <v>52129</v>
      </c>
      <c r="AD76" s="19">
        <v>0</v>
      </c>
      <c r="AE76" s="19">
        <f>SUM(AF76:BA76)</f>
        <v>21519411</v>
      </c>
      <c r="AF76" s="19">
        <v>0</v>
      </c>
      <c r="AG76" s="19">
        <v>0</v>
      </c>
      <c r="AH76" s="23">
        <v>128131</v>
      </c>
      <c r="AI76" s="23">
        <v>200000</v>
      </c>
      <c r="AJ76" s="23">
        <v>0</v>
      </c>
      <c r="AK76" s="23">
        <v>1897</v>
      </c>
      <c r="AL76" s="23">
        <v>3000</v>
      </c>
      <c r="AM76" s="23">
        <v>2286</v>
      </c>
      <c r="AN76" s="23">
        <v>13000</v>
      </c>
      <c r="AO76" s="23">
        <v>13386</v>
      </c>
      <c r="AP76" s="23">
        <v>0</v>
      </c>
      <c r="AQ76" s="23"/>
      <c r="AR76" s="23">
        <v>74250</v>
      </c>
      <c r="AS76" s="23">
        <v>0</v>
      </c>
      <c r="AT76" s="23">
        <v>0</v>
      </c>
      <c r="AU76" s="23">
        <v>0</v>
      </c>
      <c r="AV76" s="23">
        <v>0</v>
      </c>
      <c r="AW76" s="23">
        <v>0</v>
      </c>
      <c r="AX76" s="23">
        <v>19287313</v>
      </c>
      <c r="AY76" s="23">
        <f>388800-102000</f>
        <v>286800</v>
      </c>
      <c r="AZ76" s="23">
        <f>1057023-7300</f>
        <v>1049723</v>
      </c>
      <c r="BA76" s="23">
        <v>459625</v>
      </c>
      <c r="BB76" s="19">
        <f>SUM(BC76+BG76+BJ76+BL76+BO76)</f>
        <v>1282150</v>
      </c>
      <c r="BC76" s="19">
        <f>SUM(BD76:BF76)</f>
        <v>0</v>
      </c>
      <c r="BD76" s="19">
        <v>0</v>
      </c>
      <c r="BE76" s="19">
        <v>0</v>
      </c>
      <c r="BF76" s="19">
        <v>0</v>
      </c>
      <c r="BG76" s="19">
        <f>SUM(BI76:BI76)</f>
        <v>0</v>
      </c>
      <c r="BH76" s="19">
        <v>0</v>
      </c>
      <c r="BI76" s="19">
        <v>0</v>
      </c>
      <c r="BJ76" s="19">
        <v>0</v>
      </c>
      <c r="BK76" s="23"/>
      <c r="BL76" s="19">
        <f t="shared" ref="BL76" si="133">SUM(BM76)</f>
        <v>283150</v>
      </c>
      <c r="BM76" s="23">
        <f>358150-75000</f>
        <v>283150</v>
      </c>
      <c r="BN76" s="19">
        <v>0</v>
      </c>
      <c r="BO76" s="19">
        <f>SUM(BP76:BZ76)</f>
        <v>999000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19">
        <v>0</v>
      </c>
      <c r="BW76" s="19">
        <v>0</v>
      </c>
      <c r="BX76" s="19">
        <v>0</v>
      </c>
      <c r="BY76" s="23">
        <v>999000</v>
      </c>
      <c r="BZ76" s="19">
        <v>0</v>
      </c>
      <c r="CA76" s="19">
        <f>SUM(CB76+CT76)</f>
        <v>5243728</v>
      </c>
      <c r="CB76" s="19">
        <f>SUM(CC76+CF76+CL76)</f>
        <v>5243728</v>
      </c>
      <c r="CC76" s="19">
        <f t="shared" ref="CC76" si="134">SUM(CD76:CE76)</f>
        <v>2822191</v>
      </c>
      <c r="CD76" s="19">
        <v>0</v>
      </c>
      <c r="CE76" s="23">
        <v>2822191</v>
      </c>
      <c r="CF76" s="19">
        <f>SUM(CG76:CK76)</f>
        <v>1595500</v>
      </c>
      <c r="CG76" s="19">
        <v>0</v>
      </c>
      <c r="CH76" s="19">
        <v>0</v>
      </c>
      <c r="CI76" s="23">
        <v>795500</v>
      </c>
      <c r="CJ76" s="23"/>
      <c r="CK76" s="23">
        <v>800000</v>
      </c>
      <c r="CL76" s="19">
        <f>SUM(CM76:CQ76)</f>
        <v>826037</v>
      </c>
      <c r="CM76" s="24"/>
      <c r="CN76" s="24"/>
      <c r="CO76" s="23">
        <f>1276037-450000</f>
        <v>826037</v>
      </c>
      <c r="CP76" s="19"/>
      <c r="CQ76" s="19"/>
      <c r="CR76" s="19"/>
      <c r="CS76" s="19"/>
      <c r="CT76" s="19">
        <v>0</v>
      </c>
      <c r="CU76" s="19"/>
      <c r="CV76" s="19"/>
      <c r="CW76" s="19"/>
      <c r="CX76" s="19">
        <f t="shared" ref="CX76" si="135">SUM(CY76)</f>
        <v>0</v>
      </c>
      <c r="CY76" s="19">
        <f t="shared" ref="CY76" si="136">SUM(CZ76:DA76)</f>
        <v>0</v>
      </c>
      <c r="CZ76" s="19">
        <v>0</v>
      </c>
      <c r="DA76" s="20">
        <v>0</v>
      </c>
    </row>
    <row r="77" spans="1:106" s="86" customFormat="1" ht="15.75" x14ac:dyDescent="0.25">
      <c r="A77" s="71" t="s">
        <v>178</v>
      </c>
      <c r="B77" s="16" t="s">
        <v>1</v>
      </c>
      <c r="C77" s="17" t="s">
        <v>544</v>
      </c>
      <c r="D77" s="18">
        <f t="shared" ref="D77:AK77" si="137">SUM(D78)</f>
        <v>44557525</v>
      </c>
      <c r="E77" s="18">
        <f t="shared" si="137"/>
        <v>41984435</v>
      </c>
      <c r="F77" s="18">
        <f t="shared" si="137"/>
        <v>41978107</v>
      </c>
      <c r="G77" s="18">
        <f t="shared" si="137"/>
        <v>34164376</v>
      </c>
      <c r="H77" s="18">
        <f t="shared" si="137"/>
        <v>684000</v>
      </c>
      <c r="I77" s="18">
        <f t="shared" si="137"/>
        <v>5193096</v>
      </c>
      <c r="J77" s="18">
        <f t="shared" si="137"/>
        <v>34761</v>
      </c>
      <c r="K77" s="18">
        <f t="shared" si="137"/>
        <v>441647</v>
      </c>
      <c r="L77" s="18">
        <f t="shared" si="137"/>
        <v>40255</v>
      </c>
      <c r="M77" s="18">
        <f t="shared" si="137"/>
        <v>0</v>
      </c>
      <c r="N77" s="18">
        <f t="shared" si="137"/>
        <v>4243632</v>
      </c>
      <c r="O77" s="18">
        <f t="shared" si="137"/>
        <v>432801</v>
      </c>
      <c r="P77" s="18">
        <f t="shared" si="137"/>
        <v>171205</v>
      </c>
      <c r="Q77" s="18">
        <f t="shared" si="137"/>
        <v>4418</v>
      </c>
      <c r="R77" s="18">
        <f t="shared" si="137"/>
        <v>166787</v>
      </c>
      <c r="S77" s="18">
        <f t="shared" si="137"/>
        <v>0</v>
      </c>
      <c r="T77" s="18">
        <f t="shared" si="137"/>
        <v>33343</v>
      </c>
      <c r="U77" s="18">
        <f t="shared" si="137"/>
        <v>356449</v>
      </c>
      <c r="V77" s="18">
        <f t="shared" si="137"/>
        <v>192429</v>
      </c>
      <c r="W77" s="18">
        <f t="shared" si="137"/>
        <v>0</v>
      </c>
      <c r="X77" s="18">
        <f t="shared" si="137"/>
        <v>114000</v>
      </c>
      <c r="Y77" s="18">
        <f t="shared" si="137"/>
        <v>24103</v>
      </c>
      <c r="Z77" s="18">
        <f t="shared" si="137"/>
        <v>7120</v>
      </c>
      <c r="AA77" s="18">
        <f t="shared" si="137"/>
        <v>0</v>
      </c>
      <c r="AB77" s="18">
        <f t="shared" si="137"/>
        <v>0</v>
      </c>
      <c r="AC77" s="18">
        <f t="shared" si="137"/>
        <v>18797</v>
      </c>
      <c r="AD77" s="18">
        <f t="shared" si="137"/>
        <v>0</v>
      </c>
      <c r="AE77" s="18">
        <f t="shared" si="137"/>
        <v>1375638</v>
      </c>
      <c r="AF77" s="18">
        <f t="shared" si="137"/>
        <v>0</v>
      </c>
      <c r="AG77" s="18">
        <f t="shared" si="137"/>
        <v>0</v>
      </c>
      <c r="AH77" s="18">
        <f t="shared" si="137"/>
        <v>0</v>
      </c>
      <c r="AI77" s="18">
        <f t="shared" si="137"/>
        <v>0</v>
      </c>
      <c r="AJ77" s="18">
        <f t="shared" si="137"/>
        <v>0</v>
      </c>
      <c r="AK77" s="18">
        <f t="shared" si="137"/>
        <v>0</v>
      </c>
      <c r="AL77" s="18">
        <f t="shared" ref="AL77:DA77" si="138">SUM(AL78)</f>
        <v>6693</v>
      </c>
      <c r="AM77" s="18">
        <f t="shared" si="138"/>
        <v>0</v>
      </c>
      <c r="AN77" s="18">
        <f t="shared" si="138"/>
        <v>50768</v>
      </c>
      <c r="AO77" s="18">
        <f t="shared" si="138"/>
        <v>52380</v>
      </c>
      <c r="AP77" s="18">
        <f t="shared" si="138"/>
        <v>0</v>
      </c>
      <c r="AQ77" s="18"/>
      <c r="AR77" s="18">
        <f t="shared" si="138"/>
        <v>30000</v>
      </c>
      <c r="AS77" s="18">
        <f t="shared" si="138"/>
        <v>2430</v>
      </c>
      <c r="AT77" s="18">
        <f t="shared" si="138"/>
        <v>19200</v>
      </c>
      <c r="AU77" s="18"/>
      <c r="AV77" s="18"/>
      <c r="AW77" s="18">
        <f t="shared" si="138"/>
        <v>0</v>
      </c>
      <c r="AX77" s="18">
        <f t="shared" si="138"/>
        <v>1052116</v>
      </c>
      <c r="AY77" s="18">
        <f t="shared" si="138"/>
        <v>0</v>
      </c>
      <c r="AZ77" s="18"/>
      <c r="BA77" s="18">
        <f t="shared" si="138"/>
        <v>162051</v>
      </c>
      <c r="BB77" s="18">
        <f t="shared" si="138"/>
        <v>6328</v>
      </c>
      <c r="BC77" s="18">
        <f t="shared" si="138"/>
        <v>0</v>
      </c>
      <c r="BD77" s="18">
        <f t="shared" si="138"/>
        <v>0</v>
      </c>
      <c r="BE77" s="18">
        <f t="shared" si="138"/>
        <v>0</v>
      </c>
      <c r="BF77" s="18">
        <f t="shared" si="138"/>
        <v>0</v>
      </c>
      <c r="BG77" s="18">
        <f t="shared" si="138"/>
        <v>0</v>
      </c>
      <c r="BH77" s="18">
        <f t="shared" si="138"/>
        <v>0</v>
      </c>
      <c r="BI77" s="18">
        <f t="shared" si="138"/>
        <v>0</v>
      </c>
      <c r="BJ77" s="18">
        <f t="shared" si="138"/>
        <v>0</v>
      </c>
      <c r="BK77" s="18">
        <f t="shared" si="138"/>
        <v>0</v>
      </c>
      <c r="BL77" s="18">
        <f t="shared" si="138"/>
        <v>6328</v>
      </c>
      <c r="BM77" s="18">
        <f t="shared" si="138"/>
        <v>6328</v>
      </c>
      <c r="BN77" s="18">
        <f t="shared" si="138"/>
        <v>0</v>
      </c>
      <c r="BO77" s="18">
        <f t="shared" si="138"/>
        <v>0</v>
      </c>
      <c r="BP77" s="18">
        <f t="shared" si="138"/>
        <v>0</v>
      </c>
      <c r="BQ77" s="18">
        <f t="shared" si="138"/>
        <v>0</v>
      </c>
      <c r="BR77" s="18">
        <f t="shared" si="138"/>
        <v>0</v>
      </c>
      <c r="BS77" s="18">
        <f t="shared" si="138"/>
        <v>0</v>
      </c>
      <c r="BT77" s="18">
        <f t="shared" si="138"/>
        <v>0</v>
      </c>
      <c r="BU77" s="18">
        <f t="shared" si="138"/>
        <v>0</v>
      </c>
      <c r="BV77" s="18">
        <f t="shared" si="138"/>
        <v>0</v>
      </c>
      <c r="BW77" s="18">
        <f t="shared" si="138"/>
        <v>0</v>
      </c>
      <c r="BX77" s="18">
        <f t="shared" si="138"/>
        <v>0</v>
      </c>
      <c r="BY77" s="18">
        <f t="shared" si="138"/>
        <v>0</v>
      </c>
      <c r="BZ77" s="18">
        <f t="shared" si="138"/>
        <v>0</v>
      </c>
      <c r="CA77" s="18">
        <f t="shared" si="138"/>
        <v>2573090</v>
      </c>
      <c r="CB77" s="18">
        <f t="shared" si="138"/>
        <v>2573090</v>
      </c>
      <c r="CC77" s="18">
        <f t="shared" si="138"/>
        <v>1152177</v>
      </c>
      <c r="CD77" s="18">
        <f t="shared" si="138"/>
        <v>0</v>
      </c>
      <c r="CE77" s="18">
        <f t="shared" si="138"/>
        <v>1152177</v>
      </c>
      <c r="CF77" s="18">
        <f t="shared" si="138"/>
        <v>377913</v>
      </c>
      <c r="CG77" s="18">
        <f t="shared" si="138"/>
        <v>0</v>
      </c>
      <c r="CH77" s="18">
        <f t="shared" si="138"/>
        <v>0</v>
      </c>
      <c r="CI77" s="18">
        <f t="shared" si="138"/>
        <v>377913</v>
      </c>
      <c r="CJ77" s="18">
        <f t="shared" si="138"/>
        <v>0</v>
      </c>
      <c r="CK77" s="18">
        <f t="shared" si="138"/>
        <v>0</v>
      </c>
      <c r="CL77" s="18">
        <f t="shared" si="138"/>
        <v>1043000</v>
      </c>
      <c r="CM77" s="18">
        <f t="shared" si="138"/>
        <v>0</v>
      </c>
      <c r="CN77" s="18">
        <f t="shared" si="138"/>
        <v>0</v>
      </c>
      <c r="CO77" s="18">
        <f t="shared" si="138"/>
        <v>1043000</v>
      </c>
      <c r="CP77" s="18"/>
      <c r="CQ77" s="18"/>
      <c r="CR77" s="18"/>
      <c r="CS77" s="18"/>
      <c r="CT77" s="18">
        <f t="shared" si="138"/>
        <v>0</v>
      </c>
      <c r="CU77" s="18"/>
      <c r="CV77" s="18"/>
      <c r="CW77" s="18"/>
      <c r="CX77" s="18">
        <f t="shared" si="138"/>
        <v>0</v>
      </c>
      <c r="CY77" s="18">
        <f t="shared" si="138"/>
        <v>0</v>
      </c>
      <c r="CZ77" s="18">
        <f t="shared" si="138"/>
        <v>0</v>
      </c>
      <c r="DA77" s="46">
        <f t="shared" si="138"/>
        <v>0</v>
      </c>
      <c r="DB77" s="85"/>
    </row>
    <row r="78" spans="1:106" ht="15.75" x14ac:dyDescent="0.25">
      <c r="A78" s="72" t="s">
        <v>1</v>
      </c>
      <c r="B78" s="21" t="s">
        <v>179</v>
      </c>
      <c r="C78" s="22" t="s">
        <v>634</v>
      </c>
      <c r="D78" s="18">
        <f>SUM(E78+CA78+CX78)</f>
        <v>44557525</v>
      </c>
      <c r="E78" s="19">
        <f>SUM(F78+BB78)</f>
        <v>41984435</v>
      </c>
      <c r="F78" s="19">
        <f>SUM(G78+H78+I78+P78+S78+T78+U78+AE78)</f>
        <v>41978107</v>
      </c>
      <c r="G78" s="23">
        <v>34164376</v>
      </c>
      <c r="H78" s="23">
        <v>684000</v>
      </c>
      <c r="I78" s="19">
        <f t="shared" si="120"/>
        <v>5193096</v>
      </c>
      <c r="J78" s="23">
        <v>34761</v>
      </c>
      <c r="K78" s="23">
        <v>441647</v>
      </c>
      <c r="L78" s="23">
        <v>40255</v>
      </c>
      <c r="M78" s="23">
        <v>0</v>
      </c>
      <c r="N78" s="23">
        <v>4243632</v>
      </c>
      <c r="O78" s="23">
        <v>432801</v>
      </c>
      <c r="P78" s="19">
        <f t="shared" si="121"/>
        <v>171205</v>
      </c>
      <c r="Q78" s="23">
        <v>4418</v>
      </c>
      <c r="R78" s="23">
        <v>166787</v>
      </c>
      <c r="S78" s="23">
        <v>0</v>
      </c>
      <c r="T78" s="23">
        <v>33343</v>
      </c>
      <c r="U78" s="19">
        <f>SUM(V78:AC78)</f>
        <v>356449</v>
      </c>
      <c r="V78" s="23">
        <v>192429</v>
      </c>
      <c r="W78" s="23">
        <v>0</v>
      </c>
      <c r="X78" s="23">
        <f>143251-29251</f>
        <v>114000</v>
      </c>
      <c r="Y78" s="23">
        <v>24103</v>
      </c>
      <c r="Z78" s="23">
        <v>7120</v>
      </c>
      <c r="AA78" s="23">
        <v>0</v>
      </c>
      <c r="AB78" s="23">
        <v>0</v>
      </c>
      <c r="AC78" s="23">
        <v>18797</v>
      </c>
      <c r="AD78" s="19">
        <v>0</v>
      </c>
      <c r="AE78" s="19">
        <f>SUM(AF78:BA78)</f>
        <v>1375638</v>
      </c>
      <c r="AF78" s="19">
        <v>0</v>
      </c>
      <c r="AG78" s="19">
        <v>0</v>
      </c>
      <c r="AH78" s="19">
        <v>0</v>
      </c>
      <c r="AI78" s="19">
        <v>0</v>
      </c>
      <c r="AJ78" s="23">
        <v>0</v>
      </c>
      <c r="AK78" s="23">
        <v>0</v>
      </c>
      <c r="AL78" s="23">
        <v>6693</v>
      </c>
      <c r="AM78" s="23">
        <v>0</v>
      </c>
      <c r="AN78" s="23">
        <v>50768</v>
      </c>
      <c r="AO78" s="23">
        <v>52380</v>
      </c>
      <c r="AP78" s="23">
        <v>0</v>
      </c>
      <c r="AQ78" s="23"/>
      <c r="AR78" s="23">
        <v>30000</v>
      </c>
      <c r="AS78" s="23">
        <v>2430</v>
      </c>
      <c r="AT78" s="23">
        <v>19200</v>
      </c>
      <c r="AU78" s="23">
        <v>0</v>
      </c>
      <c r="AV78" s="23">
        <v>0</v>
      </c>
      <c r="AW78" s="23">
        <v>0</v>
      </c>
      <c r="AX78" s="23">
        <v>1052116</v>
      </c>
      <c r="AY78" s="23">
        <v>0</v>
      </c>
      <c r="AZ78" s="23">
        <v>0</v>
      </c>
      <c r="BA78" s="23">
        <v>162051</v>
      </c>
      <c r="BB78" s="19">
        <f>SUM(BC78+BG78+BJ78+BL78+BO78)</f>
        <v>6328</v>
      </c>
      <c r="BC78" s="19">
        <f>SUM(BD78:BF78)</f>
        <v>0</v>
      </c>
      <c r="BD78" s="19">
        <v>0</v>
      </c>
      <c r="BE78" s="19">
        <v>0</v>
      </c>
      <c r="BF78" s="19">
        <v>0</v>
      </c>
      <c r="BG78" s="19">
        <f>SUM(BI78:BI78)</f>
        <v>0</v>
      </c>
      <c r="BH78" s="19">
        <v>0</v>
      </c>
      <c r="BI78" s="19">
        <v>0</v>
      </c>
      <c r="BJ78" s="19">
        <v>0</v>
      </c>
      <c r="BK78" s="19"/>
      <c r="BL78" s="19">
        <f t="shared" si="122"/>
        <v>6328</v>
      </c>
      <c r="BM78" s="19">
        <v>6328</v>
      </c>
      <c r="BN78" s="19"/>
      <c r="BO78" s="19">
        <f>SUM(BP78:BZ78)</f>
        <v>0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0</v>
      </c>
      <c r="BY78" s="19">
        <v>0</v>
      </c>
      <c r="BZ78" s="19"/>
      <c r="CA78" s="19">
        <f>SUM(CB78+CT78)</f>
        <v>2573090</v>
      </c>
      <c r="CB78" s="19">
        <f>SUM(CC78+CF78+CL78)</f>
        <v>2573090</v>
      </c>
      <c r="CC78" s="19">
        <f t="shared" si="123"/>
        <v>1152177</v>
      </c>
      <c r="CD78" s="19">
        <v>0</v>
      </c>
      <c r="CE78" s="23">
        <v>1152177</v>
      </c>
      <c r="CF78" s="19">
        <f>SUM(CG78:CK78)</f>
        <v>377913</v>
      </c>
      <c r="CG78" s="19">
        <v>0</v>
      </c>
      <c r="CH78" s="19">
        <v>0</v>
      </c>
      <c r="CI78" s="19">
        <v>377913</v>
      </c>
      <c r="CJ78" s="19">
        <v>0</v>
      </c>
      <c r="CK78" s="19">
        <v>0</v>
      </c>
      <c r="CL78" s="19">
        <f>SUM(CM78:CQ78)</f>
        <v>1043000</v>
      </c>
      <c r="CM78" s="19"/>
      <c r="CN78" s="19"/>
      <c r="CO78" s="19">
        <v>1043000</v>
      </c>
      <c r="CP78" s="19"/>
      <c r="CQ78" s="19"/>
      <c r="CR78" s="19"/>
      <c r="CS78" s="19"/>
      <c r="CT78" s="19">
        <v>0</v>
      </c>
      <c r="CU78" s="19"/>
      <c r="CV78" s="19"/>
      <c r="CW78" s="19"/>
      <c r="CX78" s="19">
        <f t="shared" si="124"/>
        <v>0</v>
      </c>
      <c r="CY78" s="19">
        <f t="shared" si="125"/>
        <v>0</v>
      </c>
      <c r="CZ78" s="19">
        <v>0</v>
      </c>
      <c r="DA78" s="20">
        <v>0</v>
      </c>
    </row>
    <row r="79" spans="1:106" s="86" customFormat="1" ht="31.5" x14ac:dyDescent="0.25">
      <c r="A79" s="73" t="s">
        <v>180</v>
      </c>
      <c r="B79" s="25" t="s">
        <v>1</v>
      </c>
      <c r="C79" s="26" t="s">
        <v>181</v>
      </c>
      <c r="D79" s="27">
        <f>SUM(D80+D83)</f>
        <v>16940622</v>
      </c>
      <c r="E79" s="27">
        <f t="shared" ref="E79:BU79" si="139">SUM(E80+E83)</f>
        <v>16936991</v>
      </c>
      <c r="F79" s="27">
        <f t="shared" si="139"/>
        <v>16936088</v>
      </c>
      <c r="G79" s="27">
        <f t="shared" si="139"/>
        <v>3235607</v>
      </c>
      <c r="H79" s="27">
        <f t="shared" si="139"/>
        <v>738563</v>
      </c>
      <c r="I79" s="27">
        <f t="shared" si="139"/>
        <v>65608</v>
      </c>
      <c r="J79" s="27">
        <f t="shared" si="139"/>
        <v>0</v>
      </c>
      <c r="K79" s="27">
        <f t="shared" si="139"/>
        <v>0</v>
      </c>
      <c r="L79" s="27">
        <f t="shared" si="139"/>
        <v>0</v>
      </c>
      <c r="M79" s="27">
        <f t="shared" si="139"/>
        <v>0</v>
      </c>
      <c r="N79" s="27">
        <f t="shared" si="139"/>
        <v>65409</v>
      </c>
      <c r="O79" s="27">
        <f t="shared" si="139"/>
        <v>199</v>
      </c>
      <c r="P79" s="27">
        <f t="shared" si="139"/>
        <v>0</v>
      </c>
      <c r="Q79" s="27">
        <f t="shared" si="139"/>
        <v>0</v>
      </c>
      <c r="R79" s="27">
        <f t="shared" si="139"/>
        <v>0</v>
      </c>
      <c r="S79" s="27">
        <f t="shared" si="139"/>
        <v>0</v>
      </c>
      <c r="T79" s="27">
        <f t="shared" si="139"/>
        <v>27606</v>
      </c>
      <c r="U79" s="27">
        <f t="shared" si="139"/>
        <v>196491</v>
      </c>
      <c r="V79" s="27">
        <f t="shared" si="139"/>
        <v>0</v>
      </c>
      <c r="W79" s="27">
        <f t="shared" si="139"/>
        <v>149066</v>
      </c>
      <c r="X79" s="27">
        <f t="shared" si="139"/>
        <v>18514</v>
      </c>
      <c r="Y79" s="27">
        <f t="shared" si="139"/>
        <v>28911</v>
      </c>
      <c r="Z79" s="27">
        <f t="shared" si="139"/>
        <v>0</v>
      </c>
      <c r="AA79" s="27">
        <f t="shared" si="139"/>
        <v>0</v>
      </c>
      <c r="AB79" s="27">
        <f t="shared" si="139"/>
        <v>0</v>
      </c>
      <c r="AC79" s="27">
        <f t="shared" si="139"/>
        <v>0</v>
      </c>
      <c r="AD79" s="27">
        <f t="shared" ref="AD79" si="140">SUM(AD80+AD83)</f>
        <v>0</v>
      </c>
      <c r="AE79" s="27">
        <f t="shared" si="139"/>
        <v>12672213</v>
      </c>
      <c r="AF79" s="27">
        <f t="shared" si="139"/>
        <v>0</v>
      </c>
      <c r="AG79" s="27">
        <f t="shared" si="139"/>
        <v>12588141</v>
      </c>
      <c r="AH79" s="27">
        <f t="shared" si="139"/>
        <v>0</v>
      </c>
      <c r="AI79" s="27">
        <f t="shared" si="139"/>
        <v>0</v>
      </c>
      <c r="AJ79" s="27">
        <f t="shared" si="139"/>
        <v>0</v>
      </c>
      <c r="AK79" s="27">
        <f t="shared" si="139"/>
        <v>3363</v>
      </c>
      <c r="AL79" s="27">
        <f t="shared" si="139"/>
        <v>0</v>
      </c>
      <c r="AM79" s="27">
        <f t="shared" si="139"/>
        <v>0</v>
      </c>
      <c r="AN79" s="27">
        <f t="shared" si="139"/>
        <v>0</v>
      </c>
      <c r="AO79" s="27">
        <f t="shared" si="139"/>
        <v>0</v>
      </c>
      <c r="AP79" s="27">
        <f t="shared" si="139"/>
        <v>0</v>
      </c>
      <c r="AQ79" s="27"/>
      <c r="AR79" s="27">
        <f t="shared" si="139"/>
        <v>0</v>
      </c>
      <c r="AS79" s="27">
        <f t="shared" si="139"/>
        <v>0</v>
      </c>
      <c r="AT79" s="27">
        <f t="shared" si="139"/>
        <v>0</v>
      </c>
      <c r="AU79" s="27"/>
      <c r="AV79" s="27"/>
      <c r="AW79" s="27">
        <f t="shared" si="139"/>
        <v>0</v>
      </c>
      <c r="AX79" s="27">
        <f t="shared" si="139"/>
        <v>0</v>
      </c>
      <c r="AY79" s="27">
        <f t="shared" si="139"/>
        <v>73200</v>
      </c>
      <c r="AZ79" s="27"/>
      <c r="BA79" s="27">
        <f t="shared" si="139"/>
        <v>7509</v>
      </c>
      <c r="BB79" s="27">
        <f t="shared" si="139"/>
        <v>903</v>
      </c>
      <c r="BC79" s="27">
        <f t="shared" si="139"/>
        <v>0</v>
      </c>
      <c r="BD79" s="27">
        <f t="shared" si="139"/>
        <v>0</v>
      </c>
      <c r="BE79" s="27">
        <f t="shared" si="139"/>
        <v>0</v>
      </c>
      <c r="BF79" s="27">
        <f t="shared" si="139"/>
        <v>0</v>
      </c>
      <c r="BG79" s="27">
        <f t="shared" si="139"/>
        <v>0</v>
      </c>
      <c r="BH79" s="27">
        <f t="shared" si="139"/>
        <v>0</v>
      </c>
      <c r="BI79" s="27">
        <f t="shared" si="139"/>
        <v>0</v>
      </c>
      <c r="BJ79" s="27">
        <f t="shared" si="139"/>
        <v>0</v>
      </c>
      <c r="BK79" s="27">
        <f t="shared" ref="BK79" si="141">SUM(BK80+BK83)</f>
        <v>0</v>
      </c>
      <c r="BL79" s="27">
        <f t="shared" si="139"/>
        <v>0</v>
      </c>
      <c r="BM79" s="27">
        <f t="shared" si="139"/>
        <v>0</v>
      </c>
      <c r="BN79" s="27">
        <f t="shared" ref="BN79" si="142">SUM(BN80+BN83)</f>
        <v>0</v>
      </c>
      <c r="BO79" s="27">
        <f t="shared" si="139"/>
        <v>903</v>
      </c>
      <c r="BP79" s="27">
        <f t="shared" si="139"/>
        <v>0</v>
      </c>
      <c r="BQ79" s="27">
        <f t="shared" si="139"/>
        <v>0</v>
      </c>
      <c r="BR79" s="27">
        <f t="shared" si="139"/>
        <v>903</v>
      </c>
      <c r="BS79" s="27">
        <f t="shared" si="139"/>
        <v>0</v>
      </c>
      <c r="BT79" s="27">
        <f t="shared" si="139"/>
        <v>0</v>
      </c>
      <c r="BU79" s="27">
        <f t="shared" si="139"/>
        <v>0</v>
      </c>
      <c r="BV79" s="27">
        <f t="shared" ref="BV79:DA79" si="143">SUM(BV80+BV83)</f>
        <v>0</v>
      </c>
      <c r="BW79" s="27">
        <f t="shared" si="143"/>
        <v>0</v>
      </c>
      <c r="BX79" s="27">
        <f t="shared" si="143"/>
        <v>0</v>
      </c>
      <c r="BY79" s="27">
        <f t="shared" si="143"/>
        <v>0</v>
      </c>
      <c r="BZ79" s="27">
        <f t="shared" si="143"/>
        <v>0</v>
      </c>
      <c r="CA79" s="27">
        <f t="shared" si="143"/>
        <v>3631</v>
      </c>
      <c r="CB79" s="27">
        <f t="shared" si="143"/>
        <v>3631</v>
      </c>
      <c r="CC79" s="27">
        <f t="shared" si="143"/>
        <v>3631</v>
      </c>
      <c r="CD79" s="27">
        <f t="shared" si="143"/>
        <v>0</v>
      </c>
      <c r="CE79" s="27">
        <f t="shared" si="143"/>
        <v>3631</v>
      </c>
      <c r="CF79" s="27">
        <f t="shared" si="143"/>
        <v>0</v>
      </c>
      <c r="CG79" s="27">
        <f t="shared" si="143"/>
        <v>0</v>
      </c>
      <c r="CH79" s="27">
        <f t="shared" ref="CH79:CI79" si="144">SUM(CH80+CH83)</f>
        <v>0</v>
      </c>
      <c r="CI79" s="27">
        <f t="shared" si="144"/>
        <v>0</v>
      </c>
      <c r="CJ79" s="27">
        <f t="shared" si="143"/>
        <v>0</v>
      </c>
      <c r="CK79" s="27">
        <f t="shared" ref="CK79" si="145">SUM(CK80+CK83)</f>
        <v>0</v>
      </c>
      <c r="CL79" s="27">
        <f t="shared" si="143"/>
        <v>0</v>
      </c>
      <c r="CM79" s="27">
        <f t="shared" si="143"/>
        <v>0</v>
      </c>
      <c r="CN79" s="27">
        <f t="shared" ref="CN79" si="146">SUM(CN80+CN83)</f>
        <v>0</v>
      </c>
      <c r="CO79" s="27">
        <f t="shared" si="143"/>
        <v>0</v>
      </c>
      <c r="CP79" s="27"/>
      <c r="CQ79" s="27"/>
      <c r="CR79" s="27"/>
      <c r="CS79" s="27"/>
      <c r="CT79" s="27">
        <f t="shared" si="143"/>
        <v>0</v>
      </c>
      <c r="CU79" s="27"/>
      <c r="CV79" s="27"/>
      <c r="CW79" s="27"/>
      <c r="CX79" s="27">
        <f t="shared" si="143"/>
        <v>0</v>
      </c>
      <c r="CY79" s="27">
        <f t="shared" si="143"/>
        <v>0</v>
      </c>
      <c r="CZ79" s="27">
        <f t="shared" si="143"/>
        <v>0</v>
      </c>
      <c r="DA79" s="55">
        <f t="shared" si="143"/>
        <v>0</v>
      </c>
      <c r="DB79" s="85"/>
    </row>
    <row r="80" spans="1:106" s="86" customFormat="1" ht="15.75" x14ac:dyDescent="0.25">
      <c r="A80" s="71" t="s">
        <v>182</v>
      </c>
      <c r="B80" s="16" t="s">
        <v>1</v>
      </c>
      <c r="C80" s="17" t="s">
        <v>183</v>
      </c>
      <c r="D80" s="18">
        <f t="shared" ref="D80:AK80" si="147">SUM(D81:D82)</f>
        <v>3987439</v>
      </c>
      <c r="E80" s="18">
        <f t="shared" si="147"/>
        <v>3983808</v>
      </c>
      <c r="F80" s="18">
        <f t="shared" si="147"/>
        <v>3982905</v>
      </c>
      <c r="G80" s="18">
        <f t="shared" si="147"/>
        <v>2939186</v>
      </c>
      <c r="H80" s="18">
        <f t="shared" si="147"/>
        <v>669942</v>
      </c>
      <c r="I80" s="18">
        <f t="shared" si="147"/>
        <v>65608</v>
      </c>
      <c r="J80" s="18">
        <f t="shared" si="147"/>
        <v>0</v>
      </c>
      <c r="K80" s="18">
        <f t="shared" si="147"/>
        <v>0</v>
      </c>
      <c r="L80" s="18">
        <f t="shared" si="147"/>
        <v>0</v>
      </c>
      <c r="M80" s="18">
        <f t="shared" si="147"/>
        <v>0</v>
      </c>
      <c r="N80" s="18">
        <f t="shared" si="147"/>
        <v>65409</v>
      </c>
      <c r="O80" s="18">
        <f t="shared" si="147"/>
        <v>199</v>
      </c>
      <c r="P80" s="18">
        <f t="shared" si="147"/>
        <v>0</v>
      </c>
      <c r="Q80" s="18">
        <f t="shared" si="147"/>
        <v>0</v>
      </c>
      <c r="R80" s="18">
        <f t="shared" si="147"/>
        <v>0</v>
      </c>
      <c r="S80" s="18">
        <f t="shared" si="147"/>
        <v>0</v>
      </c>
      <c r="T80" s="18">
        <f t="shared" si="147"/>
        <v>27606</v>
      </c>
      <c r="U80" s="18">
        <f t="shared" si="147"/>
        <v>196491</v>
      </c>
      <c r="V80" s="18">
        <f t="shared" si="147"/>
        <v>0</v>
      </c>
      <c r="W80" s="18">
        <f t="shared" si="147"/>
        <v>149066</v>
      </c>
      <c r="X80" s="18">
        <f t="shared" si="147"/>
        <v>18514</v>
      </c>
      <c r="Y80" s="18">
        <f t="shared" si="147"/>
        <v>28911</v>
      </c>
      <c r="Z80" s="18">
        <f t="shared" si="147"/>
        <v>0</v>
      </c>
      <c r="AA80" s="18">
        <f t="shared" si="147"/>
        <v>0</v>
      </c>
      <c r="AB80" s="18">
        <f t="shared" si="147"/>
        <v>0</v>
      </c>
      <c r="AC80" s="18">
        <f t="shared" ref="AC80:AD80" si="148">SUM(AC81:AC82)</f>
        <v>0</v>
      </c>
      <c r="AD80" s="18">
        <f t="shared" si="148"/>
        <v>0</v>
      </c>
      <c r="AE80" s="18">
        <f t="shared" si="147"/>
        <v>84072</v>
      </c>
      <c r="AF80" s="18">
        <f t="shared" si="147"/>
        <v>0</v>
      </c>
      <c r="AG80" s="18">
        <f t="shared" ref="AG80" si="149">SUM(AG81:AG82)</f>
        <v>0</v>
      </c>
      <c r="AH80" s="18">
        <f t="shared" si="147"/>
        <v>0</v>
      </c>
      <c r="AI80" s="18">
        <f t="shared" si="147"/>
        <v>0</v>
      </c>
      <c r="AJ80" s="18">
        <f t="shared" si="147"/>
        <v>0</v>
      </c>
      <c r="AK80" s="18">
        <f t="shared" si="147"/>
        <v>3363</v>
      </c>
      <c r="AL80" s="18">
        <f t="shared" ref="AL80:DA80" si="150">SUM(AL81:AL82)</f>
        <v>0</v>
      </c>
      <c r="AM80" s="18">
        <f t="shared" si="150"/>
        <v>0</v>
      </c>
      <c r="AN80" s="18">
        <f t="shared" si="150"/>
        <v>0</v>
      </c>
      <c r="AO80" s="18">
        <f t="shared" si="150"/>
        <v>0</v>
      </c>
      <c r="AP80" s="18">
        <f t="shared" si="150"/>
        <v>0</v>
      </c>
      <c r="AQ80" s="18"/>
      <c r="AR80" s="18">
        <f t="shared" si="150"/>
        <v>0</v>
      </c>
      <c r="AS80" s="18">
        <f t="shared" si="150"/>
        <v>0</v>
      </c>
      <c r="AT80" s="18">
        <f t="shared" si="150"/>
        <v>0</v>
      </c>
      <c r="AU80" s="18"/>
      <c r="AV80" s="18"/>
      <c r="AW80" s="18">
        <f t="shared" si="150"/>
        <v>0</v>
      </c>
      <c r="AX80" s="18">
        <f t="shared" si="150"/>
        <v>0</v>
      </c>
      <c r="AY80" s="18">
        <f t="shared" si="150"/>
        <v>73200</v>
      </c>
      <c r="AZ80" s="18"/>
      <c r="BA80" s="18">
        <f t="shared" si="150"/>
        <v>7509</v>
      </c>
      <c r="BB80" s="18">
        <f t="shared" si="150"/>
        <v>903</v>
      </c>
      <c r="BC80" s="18">
        <f t="shared" si="150"/>
        <v>0</v>
      </c>
      <c r="BD80" s="18">
        <f t="shared" si="150"/>
        <v>0</v>
      </c>
      <c r="BE80" s="18">
        <f t="shared" si="150"/>
        <v>0</v>
      </c>
      <c r="BF80" s="18">
        <f t="shared" si="150"/>
        <v>0</v>
      </c>
      <c r="BG80" s="18">
        <f t="shared" si="150"/>
        <v>0</v>
      </c>
      <c r="BH80" s="18">
        <f t="shared" si="150"/>
        <v>0</v>
      </c>
      <c r="BI80" s="18">
        <f t="shared" si="150"/>
        <v>0</v>
      </c>
      <c r="BJ80" s="18">
        <f t="shared" si="150"/>
        <v>0</v>
      </c>
      <c r="BK80" s="18">
        <f t="shared" ref="BK80" si="151">SUM(BK81:BK82)</f>
        <v>0</v>
      </c>
      <c r="BL80" s="18">
        <f t="shared" si="150"/>
        <v>0</v>
      </c>
      <c r="BM80" s="18">
        <f t="shared" si="150"/>
        <v>0</v>
      </c>
      <c r="BN80" s="18">
        <f t="shared" ref="BN80" si="152">SUM(BN81:BN82)</f>
        <v>0</v>
      </c>
      <c r="BO80" s="18">
        <f t="shared" si="150"/>
        <v>903</v>
      </c>
      <c r="BP80" s="18">
        <f t="shared" si="150"/>
        <v>0</v>
      </c>
      <c r="BQ80" s="18">
        <f t="shared" si="150"/>
        <v>0</v>
      </c>
      <c r="BR80" s="18">
        <f t="shared" si="150"/>
        <v>903</v>
      </c>
      <c r="BS80" s="18">
        <f t="shared" si="150"/>
        <v>0</v>
      </c>
      <c r="BT80" s="18">
        <f t="shared" si="150"/>
        <v>0</v>
      </c>
      <c r="BU80" s="18">
        <f t="shared" si="150"/>
        <v>0</v>
      </c>
      <c r="BV80" s="18">
        <f t="shared" si="150"/>
        <v>0</v>
      </c>
      <c r="BW80" s="18">
        <f t="shared" si="150"/>
        <v>0</v>
      </c>
      <c r="BX80" s="18">
        <f t="shared" si="150"/>
        <v>0</v>
      </c>
      <c r="BY80" s="18">
        <f t="shared" si="150"/>
        <v>0</v>
      </c>
      <c r="BZ80" s="18">
        <f t="shared" si="150"/>
        <v>0</v>
      </c>
      <c r="CA80" s="18">
        <f t="shared" si="150"/>
        <v>3631</v>
      </c>
      <c r="CB80" s="18">
        <f t="shared" si="150"/>
        <v>3631</v>
      </c>
      <c r="CC80" s="18">
        <f t="shared" si="150"/>
        <v>3631</v>
      </c>
      <c r="CD80" s="18">
        <f t="shared" si="150"/>
        <v>0</v>
      </c>
      <c r="CE80" s="18">
        <f t="shared" si="150"/>
        <v>3631</v>
      </c>
      <c r="CF80" s="18">
        <f t="shared" si="150"/>
        <v>0</v>
      </c>
      <c r="CG80" s="18">
        <f t="shared" si="150"/>
        <v>0</v>
      </c>
      <c r="CH80" s="18">
        <f t="shared" ref="CH80:CI80" si="153">SUM(CH81:CH82)</f>
        <v>0</v>
      </c>
      <c r="CI80" s="18">
        <f t="shared" si="153"/>
        <v>0</v>
      </c>
      <c r="CJ80" s="18">
        <f t="shared" si="150"/>
        <v>0</v>
      </c>
      <c r="CK80" s="18">
        <f t="shared" ref="CK80" si="154">SUM(CK81:CK82)</f>
        <v>0</v>
      </c>
      <c r="CL80" s="18">
        <f t="shared" si="150"/>
        <v>0</v>
      </c>
      <c r="CM80" s="18">
        <f t="shared" si="150"/>
        <v>0</v>
      </c>
      <c r="CN80" s="18">
        <f t="shared" ref="CN80" si="155">SUM(CN81:CN82)</f>
        <v>0</v>
      </c>
      <c r="CO80" s="18">
        <f t="shared" si="150"/>
        <v>0</v>
      </c>
      <c r="CP80" s="18"/>
      <c r="CQ80" s="18"/>
      <c r="CR80" s="18"/>
      <c r="CS80" s="18"/>
      <c r="CT80" s="18">
        <f t="shared" si="150"/>
        <v>0</v>
      </c>
      <c r="CU80" s="18"/>
      <c r="CV80" s="18"/>
      <c r="CW80" s="18"/>
      <c r="CX80" s="18">
        <f t="shared" si="150"/>
        <v>0</v>
      </c>
      <c r="CY80" s="18">
        <f t="shared" si="150"/>
        <v>0</v>
      </c>
      <c r="CZ80" s="18">
        <f t="shared" si="150"/>
        <v>0</v>
      </c>
      <c r="DA80" s="46">
        <f t="shared" si="150"/>
        <v>0</v>
      </c>
      <c r="DB80" s="85"/>
    </row>
    <row r="81" spans="1:106" s="87" customFormat="1" ht="15.75" x14ac:dyDescent="0.25">
      <c r="A81" s="75" t="s">
        <v>1</v>
      </c>
      <c r="B81" s="60" t="s">
        <v>92</v>
      </c>
      <c r="C81" s="61" t="s">
        <v>184</v>
      </c>
      <c r="D81" s="62">
        <f>SUM(E81+CA81+CX81)</f>
        <v>3096180</v>
      </c>
      <c r="E81" s="63">
        <f>SUM(F81+BB81)</f>
        <v>3096180</v>
      </c>
      <c r="F81" s="63">
        <f t="shared" ref="F81:F82" si="156">SUM(G81+H81+I81+P81+S81+T81+U81+AE81)</f>
        <v>3095277</v>
      </c>
      <c r="G81" s="64">
        <f>6257378-3910422</f>
        <v>2346956</v>
      </c>
      <c r="H81" s="64">
        <f>1537153-1003101</f>
        <v>534052</v>
      </c>
      <c r="I81" s="63">
        <f t="shared" si="120"/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3">
        <f t="shared" si="121"/>
        <v>0</v>
      </c>
      <c r="Q81" s="63">
        <v>0</v>
      </c>
      <c r="R81" s="63">
        <v>0</v>
      </c>
      <c r="S81" s="63">
        <v>0</v>
      </c>
      <c r="T81" s="64">
        <f>28338-16856</f>
        <v>11482</v>
      </c>
      <c r="U81" s="63">
        <f t="shared" ref="U81:U82" si="157">SUM(V81:AC81)</f>
        <v>195278</v>
      </c>
      <c r="V81" s="65"/>
      <c r="W81" s="64">
        <f>296685-147619</f>
        <v>149066</v>
      </c>
      <c r="X81" s="64">
        <f>80979-63298-380</f>
        <v>17301</v>
      </c>
      <c r="Y81" s="64">
        <f>91590-61351-1328</f>
        <v>28911</v>
      </c>
      <c r="Z81" s="64">
        <v>0</v>
      </c>
      <c r="AA81" s="65"/>
      <c r="AB81" s="65"/>
      <c r="AC81" s="65"/>
      <c r="AD81" s="65">
        <v>0</v>
      </c>
      <c r="AE81" s="63">
        <f>SUM(AF81:BA81)</f>
        <v>7509</v>
      </c>
      <c r="AF81" s="65">
        <v>0</v>
      </c>
      <c r="AG81" s="65">
        <v>0</v>
      </c>
      <c r="AH81" s="65">
        <v>0</v>
      </c>
      <c r="AI81" s="65">
        <v>0</v>
      </c>
      <c r="AJ81" s="65">
        <v>0</v>
      </c>
      <c r="AK81" s="65">
        <v>0</v>
      </c>
      <c r="AL81" s="65">
        <v>0</v>
      </c>
      <c r="AM81" s="65">
        <v>0</v>
      </c>
      <c r="AN81" s="65">
        <v>0</v>
      </c>
      <c r="AO81" s="65">
        <v>0</v>
      </c>
      <c r="AP81" s="65">
        <v>0</v>
      </c>
      <c r="AQ81" s="65"/>
      <c r="AR81" s="65">
        <v>0</v>
      </c>
      <c r="AS81" s="65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4">
        <f>407025-407025</f>
        <v>0</v>
      </c>
      <c r="AZ81" s="64">
        <v>0</v>
      </c>
      <c r="BA81" s="64">
        <f>14434-6925</f>
        <v>7509</v>
      </c>
      <c r="BB81" s="63">
        <f>SUM(BC81+BG81+BJ81+BL81+BO81)</f>
        <v>903</v>
      </c>
      <c r="BC81" s="63">
        <f>SUM(BD81:BF81)</f>
        <v>0</v>
      </c>
      <c r="BD81" s="63">
        <v>0</v>
      </c>
      <c r="BE81" s="63">
        <v>0</v>
      </c>
      <c r="BF81" s="63">
        <v>0</v>
      </c>
      <c r="BG81" s="63">
        <f>SUM(BI81:BI81)</f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f t="shared" si="122"/>
        <v>0</v>
      </c>
      <c r="BM81" s="63">
        <v>0</v>
      </c>
      <c r="BN81" s="63">
        <v>0</v>
      </c>
      <c r="BO81" s="63">
        <f>SUM(BP81:BZ81)</f>
        <v>903</v>
      </c>
      <c r="BP81" s="63">
        <v>0</v>
      </c>
      <c r="BQ81" s="63">
        <v>0</v>
      </c>
      <c r="BR81" s="64">
        <f>7217-6314</f>
        <v>903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f>SUM(CB81+CT81)</f>
        <v>0</v>
      </c>
      <c r="CB81" s="63">
        <f>SUM(CC81+CF81+CL81)</f>
        <v>0</v>
      </c>
      <c r="CC81" s="63">
        <f t="shared" si="123"/>
        <v>0</v>
      </c>
      <c r="CD81" s="63">
        <v>0</v>
      </c>
      <c r="CE81" s="63">
        <v>0</v>
      </c>
      <c r="CF81" s="63">
        <f>SUM(CG81:CK81)</f>
        <v>0</v>
      </c>
      <c r="CG81" s="63">
        <v>0</v>
      </c>
      <c r="CH81" s="63">
        <v>0</v>
      </c>
      <c r="CI81" s="63">
        <v>0</v>
      </c>
      <c r="CJ81" s="63">
        <v>0</v>
      </c>
      <c r="CK81" s="63">
        <v>0</v>
      </c>
      <c r="CL81" s="63">
        <f>SUM(CM81:CQ81)</f>
        <v>0</v>
      </c>
      <c r="CM81" s="63">
        <v>0</v>
      </c>
      <c r="CN81" s="63">
        <v>0</v>
      </c>
      <c r="CO81" s="63">
        <v>0</v>
      </c>
      <c r="CP81" s="63"/>
      <c r="CQ81" s="63"/>
      <c r="CR81" s="63"/>
      <c r="CS81" s="63"/>
      <c r="CT81" s="63">
        <v>0</v>
      </c>
      <c r="CU81" s="63"/>
      <c r="CV81" s="63"/>
      <c r="CW81" s="63"/>
      <c r="CX81" s="63">
        <f t="shared" si="124"/>
        <v>0</v>
      </c>
      <c r="CY81" s="63">
        <f t="shared" si="125"/>
        <v>0</v>
      </c>
      <c r="CZ81" s="63">
        <v>0</v>
      </c>
      <c r="DA81" s="66">
        <v>0</v>
      </c>
    </row>
    <row r="82" spans="1:106" s="87" customFormat="1" ht="31.5" x14ac:dyDescent="0.25">
      <c r="A82" s="75" t="s">
        <v>1</v>
      </c>
      <c r="B82" s="60" t="s">
        <v>100</v>
      </c>
      <c r="C82" s="61" t="s">
        <v>185</v>
      </c>
      <c r="D82" s="62">
        <f>SUM(E82+CA82+CX82)</f>
        <v>891259</v>
      </c>
      <c r="E82" s="63">
        <f>SUM(F82+BB82)</f>
        <v>887628</v>
      </c>
      <c r="F82" s="63">
        <f t="shared" si="156"/>
        <v>887628</v>
      </c>
      <c r="G82" s="64">
        <v>592230</v>
      </c>
      <c r="H82" s="64">
        <v>135890</v>
      </c>
      <c r="I82" s="63">
        <f t="shared" si="120"/>
        <v>65608</v>
      </c>
      <c r="J82" s="64">
        <v>0</v>
      </c>
      <c r="K82" s="64">
        <v>0</v>
      </c>
      <c r="L82" s="64">
        <v>0</v>
      </c>
      <c r="M82" s="64">
        <v>0</v>
      </c>
      <c r="N82" s="64">
        <v>65409</v>
      </c>
      <c r="O82" s="64">
        <v>199</v>
      </c>
      <c r="P82" s="63">
        <f t="shared" si="121"/>
        <v>0</v>
      </c>
      <c r="Q82" s="63">
        <v>0</v>
      </c>
      <c r="R82" s="63">
        <v>0</v>
      </c>
      <c r="S82" s="63">
        <v>0</v>
      </c>
      <c r="T82" s="64">
        <v>16124</v>
      </c>
      <c r="U82" s="63">
        <f t="shared" si="157"/>
        <v>1213</v>
      </c>
      <c r="V82" s="65"/>
      <c r="W82" s="64">
        <v>0</v>
      </c>
      <c r="X82" s="64">
        <v>1213</v>
      </c>
      <c r="Y82" s="64">
        <v>0</v>
      </c>
      <c r="Z82" s="64">
        <v>0</v>
      </c>
      <c r="AA82" s="65"/>
      <c r="AB82" s="65"/>
      <c r="AC82" s="65"/>
      <c r="AD82" s="65">
        <v>0</v>
      </c>
      <c r="AE82" s="63">
        <f>SUM(AF82:BA82)</f>
        <v>76563</v>
      </c>
      <c r="AF82" s="64">
        <v>0</v>
      </c>
      <c r="AG82" s="65">
        <v>0</v>
      </c>
      <c r="AH82" s="65">
        <v>0</v>
      </c>
      <c r="AI82" s="65">
        <v>0</v>
      </c>
      <c r="AJ82" s="65">
        <v>0</v>
      </c>
      <c r="AK82" s="65">
        <v>3363</v>
      </c>
      <c r="AL82" s="65">
        <v>0</v>
      </c>
      <c r="AM82" s="65">
        <v>0</v>
      </c>
      <c r="AN82" s="65">
        <v>0</v>
      </c>
      <c r="AO82" s="65">
        <v>0</v>
      </c>
      <c r="AP82" s="65">
        <v>0</v>
      </c>
      <c r="AQ82" s="65"/>
      <c r="AR82" s="65">
        <v>0</v>
      </c>
      <c r="AS82" s="65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4">
        <v>73200</v>
      </c>
      <c r="AZ82" s="64">
        <v>0</v>
      </c>
      <c r="BA82" s="64">
        <v>0</v>
      </c>
      <c r="BB82" s="63">
        <f>SUM(BC82+BG82+BJ82+BL82+BO82)</f>
        <v>0</v>
      </c>
      <c r="BC82" s="63">
        <f>SUM(BD82:BF82)</f>
        <v>0</v>
      </c>
      <c r="BD82" s="63">
        <v>0</v>
      </c>
      <c r="BE82" s="63">
        <v>0</v>
      </c>
      <c r="BF82" s="63">
        <v>0</v>
      </c>
      <c r="BG82" s="63">
        <f>SUM(BI82:BI82)</f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f t="shared" si="122"/>
        <v>0</v>
      </c>
      <c r="BM82" s="63">
        <v>0</v>
      </c>
      <c r="BN82" s="63">
        <v>0</v>
      </c>
      <c r="BO82" s="63">
        <f>SUM(BP82:BZ82)</f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f>SUM(CB82+CT82)</f>
        <v>3631</v>
      </c>
      <c r="CB82" s="63">
        <f>SUM(CC82+CF82+CL82)</f>
        <v>3631</v>
      </c>
      <c r="CC82" s="63">
        <f t="shared" si="123"/>
        <v>3631</v>
      </c>
      <c r="CD82" s="63">
        <v>0</v>
      </c>
      <c r="CE82" s="64">
        <v>3631</v>
      </c>
      <c r="CF82" s="63">
        <f>SUM(CG82:CK82)</f>
        <v>0</v>
      </c>
      <c r="CG82" s="63">
        <v>0</v>
      </c>
      <c r="CH82" s="63">
        <v>0</v>
      </c>
      <c r="CI82" s="63">
        <v>0</v>
      </c>
      <c r="CJ82" s="63">
        <v>0</v>
      </c>
      <c r="CK82" s="63">
        <v>0</v>
      </c>
      <c r="CL82" s="63">
        <f>SUM(CM82:CQ82)</f>
        <v>0</v>
      </c>
      <c r="CM82" s="63">
        <v>0</v>
      </c>
      <c r="CN82" s="63">
        <v>0</v>
      </c>
      <c r="CO82" s="63">
        <v>0</v>
      </c>
      <c r="CP82" s="63"/>
      <c r="CQ82" s="63"/>
      <c r="CR82" s="63"/>
      <c r="CS82" s="63"/>
      <c r="CT82" s="63">
        <v>0</v>
      </c>
      <c r="CU82" s="63"/>
      <c r="CV82" s="63"/>
      <c r="CW82" s="63"/>
      <c r="CX82" s="63">
        <f t="shared" si="124"/>
        <v>0</v>
      </c>
      <c r="CY82" s="63">
        <f t="shared" si="125"/>
        <v>0</v>
      </c>
      <c r="CZ82" s="63">
        <v>0</v>
      </c>
      <c r="DA82" s="66">
        <v>0</v>
      </c>
    </row>
    <row r="83" spans="1:106" s="88" customFormat="1" ht="31.5" x14ac:dyDescent="0.25">
      <c r="A83" s="78" t="s">
        <v>186</v>
      </c>
      <c r="B83" s="79" t="s">
        <v>1</v>
      </c>
      <c r="C83" s="80" t="s">
        <v>545</v>
      </c>
      <c r="D83" s="62">
        <f>SUM(D84:D92)</f>
        <v>12953183</v>
      </c>
      <c r="E83" s="62">
        <f t="shared" ref="E83:BQ83" si="158">SUM(E84:E92)</f>
        <v>12953183</v>
      </c>
      <c r="F83" s="62">
        <f t="shared" si="158"/>
        <v>12953183</v>
      </c>
      <c r="G83" s="62">
        <f t="shared" si="158"/>
        <v>296421</v>
      </c>
      <c r="H83" s="62">
        <f t="shared" si="158"/>
        <v>68621</v>
      </c>
      <c r="I83" s="62">
        <f t="shared" si="158"/>
        <v>0</v>
      </c>
      <c r="J83" s="62">
        <f t="shared" si="158"/>
        <v>0</v>
      </c>
      <c r="K83" s="62">
        <f t="shared" si="158"/>
        <v>0</v>
      </c>
      <c r="L83" s="62">
        <f t="shared" si="158"/>
        <v>0</v>
      </c>
      <c r="M83" s="62">
        <f t="shared" si="158"/>
        <v>0</v>
      </c>
      <c r="N83" s="62">
        <f t="shared" si="158"/>
        <v>0</v>
      </c>
      <c r="O83" s="62">
        <f t="shared" si="158"/>
        <v>0</v>
      </c>
      <c r="P83" s="62">
        <f t="shared" si="158"/>
        <v>0</v>
      </c>
      <c r="Q83" s="62">
        <f t="shared" si="158"/>
        <v>0</v>
      </c>
      <c r="R83" s="62">
        <f t="shared" si="158"/>
        <v>0</v>
      </c>
      <c r="S83" s="62">
        <f t="shared" si="158"/>
        <v>0</v>
      </c>
      <c r="T83" s="62">
        <f t="shared" si="158"/>
        <v>0</v>
      </c>
      <c r="U83" s="62">
        <f t="shared" si="158"/>
        <v>0</v>
      </c>
      <c r="V83" s="62">
        <f t="shared" si="158"/>
        <v>0</v>
      </c>
      <c r="W83" s="62">
        <f t="shared" si="158"/>
        <v>0</v>
      </c>
      <c r="X83" s="62">
        <f t="shared" si="158"/>
        <v>0</v>
      </c>
      <c r="Y83" s="62">
        <f t="shared" si="158"/>
        <v>0</v>
      </c>
      <c r="Z83" s="62">
        <f t="shared" si="158"/>
        <v>0</v>
      </c>
      <c r="AA83" s="62">
        <f t="shared" si="158"/>
        <v>0</v>
      </c>
      <c r="AB83" s="62">
        <f t="shared" si="158"/>
        <v>0</v>
      </c>
      <c r="AC83" s="62">
        <f t="shared" si="158"/>
        <v>0</v>
      </c>
      <c r="AD83" s="62">
        <f t="shared" ref="AD83" si="159">SUM(AD84:AD92)</f>
        <v>0</v>
      </c>
      <c r="AE83" s="62">
        <f t="shared" si="158"/>
        <v>12588141</v>
      </c>
      <c r="AF83" s="62">
        <f t="shared" si="158"/>
        <v>0</v>
      </c>
      <c r="AG83" s="62">
        <f t="shared" si="158"/>
        <v>12588141</v>
      </c>
      <c r="AH83" s="62">
        <f t="shared" si="158"/>
        <v>0</v>
      </c>
      <c r="AI83" s="62">
        <f t="shared" si="158"/>
        <v>0</v>
      </c>
      <c r="AJ83" s="62">
        <f t="shared" si="158"/>
        <v>0</v>
      </c>
      <c r="AK83" s="62">
        <f t="shared" si="158"/>
        <v>0</v>
      </c>
      <c r="AL83" s="62">
        <f t="shared" si="158"/>
        <v>0</v>
      </c>
      <c r="AM83" s="62">
        <f t="shared" si="158"/>
        <v>0</v>
      </c>
      <c r="AN83" s="62">
        <f t="shared" si="158"/>
        <v>0</v>
      </c>
      <c r="AO83" s="62">
        <f t="shared" si="158"/>
        <v>0</v>
      </c>
      <c r="AP83" s="62">
        <f t="shared" si="158"/>
        <v>0</v>
      </c>
      <c r="AQ83" s="62">
        <f t="shared" si="158"/>
        <v>0</v>
      </c>
      <c r="AR83" s="62">
        <f t="shared" si="158"/>
        <v>0</v>
      </c>
      <c r="AS83" s="62">
        <f t="shared" si="158"/>
        <v>0</v>
      </c>
      <c r="AT83" s="62">
        <f t="shared" si="158"/>
        <v>0</v>
      </c>
      <c r="AU83" s="62">
        <f t="shared" si="158"/>
        <v>0</v>
      </c>
      <c r="AV83" s="62">
        <f t="shared" si="158"/>
        <v>0</v>
      </c>
      <c r="AW83" s="62">
        <f t="shared" si="158"/>
        <v>0</v>
      </c>
      <c r="AX83" s="62">
        <f t="shared" si="158"/>
        <v>0</v>
      </c>
      <c r="AY83" s="62">
        <f t="shared" si="158"/>
        <v>0</v>
      </c>
      <c r="AZ83" s="62">
        <f t="shared" si="158"/>
        <v>0</v>
      </c>
      <c r="BA83" s="62">
        <f t="shared" si="158"/>
        <v>0</v>
      </c>
      <c r="BB83" s="62">
        <f t="shared" si="158"/>
        <v>0</v>
      </c>
      <c r="BC83" s="62">
        <f t="shared" si="158"/>
        <v>0</v>
      </c>
      <c r="BD83" s="62">
        <f t="shared" si="158"/>
        <v>0</v>
      </c>
      <c r="BE83" s="62">
        <f t="shared" si="158"/>
        <v>0</v>
      </c>
      <c r="BF83" s="62">
        <f t="shared" si="158"/>
        <v>0</v>
      </c>
      <c r="BG83" s="62">
        <f t="shared" si="158"/>
        <v>0</v>
      </c>
      <c r="BH83" s="62">
        <f t="shared" si="158"/>
        <v>0</v>
      </c>
      <c r="BI83" s="62">
        <f t="shared" si="158"/>
        <v>0</v>
      </c>
      <c r="BJ83" s="62">
        <f t="shared" si="158"/>
        <v>0</v>
      </c>
      <c r="BK83" s="62">
        <f t="shared" si="158"/>
        <v>0</v>
      </c>
      <c r="BL83" s="62">
        <f t="shared" si="158"/>
        <v>0</v>
      </c>
      <c r="BM83" s="62">
        <f t="shared" si="158"/>
        <v>0</v>
      </c>
      <c r="BN83" s="62">
        <f t="shared" si="158"/>
        <v>0</v>
      </c>
      <c r="BO83" s="62">
        <f t="shared" si="158"/>
        <v>0</v>
      </c>
      <c r="BP83" s="62">
        <f t="shared" si="158"/>
        <v>0</v>
      </c>
      <c r="BQ83" s="62">
        <f t="shared" si="158"/>
        <v>0</v>
      </c>
      <c r="BR83" s="62">
        <f t="shared" ref="BR83:DA83" si="160">SUM(BR84:BR92)</f>
        <v>0</v>
      </c>
      <c r="BS83" s="62">
        <f t="shared" si="160"/>
        <v>0</v>
      </c>
      <c r="BT83" s="62">
        <f t="shared" si="160"/>
        <v>0</v>
      </c>
      <c r="BU83" s="62">
        <f t="shared" si="160"/>
        <v>0</v>
      </c>
      <c r="BV83" s="62">
        <f t="shared" si="160"/>
        <v>0</v>
      </c>
      <c r="BW83" s="62">
        <f t="shared" si="160"/>
        <v>0</v>
      </c>
      <c r="BX83" s="62">
        <f t="shared" si="160"/>
        <v>0</v>
      </c>
      <c r="BY83" s="62">
        <f t="shared" si="160"/>
        <v>0</v>
      </c>
      <c r="BZ83" s="62">
        <f t="shared" si="160"/>
        <v>0</v>
      </c>
      <c r="CA83" s="62">
        <f t="shared" si="160"/>
        <v>0</v>
      </c>
      <c r="CB83" s="62">
        <f t="shared" si="160"/>
        <v>0</v>
      </c>
      <c r="CC83" s="62">
        <f t="shared" si="160"/>
        <v>0</v>
      </c>
      <c r="CD83" s="62">
        <f t="shared" si="160"/>
        <v>0</v>
      </c>
      <c r="CE83" s="62">
        <f t="shared" si="160"/>
        <v>0</v>
      </c>
      <c r="CF83" s="62">
        <f t="shared" si="160"/>
        <v>0</v>
      </c>
      <c r="CG83" s="62">
        <f t="shared" si="160"/>
        <v>0</v>
      </c>
      <c r="CH83" s="62">
        <f t="shared" si="160"/>
        <v>0</v>
      </c>
      <c r="CI83" s="62">
        <f t="shared" si="160"/>
        <v>0</v>
      </c>
      <c r="CJ83" s="62">
        <f t="shared" si="160"/>
        <v>0</v>
      </c>
      <c r="CK83" s="62">
        <f t="shared" si="160"/>
        <v>0</v>
      </c>
      <c r="CL83" s="62">
        <f t="shared" si="160"/>
        <v>0</v>
      </c>
      <c r="CM83" s="62">
        <f t="shared" si="160"/>
        <v>0</v>
      </c>
      <c r="CN83" s="62">
        <f t="shared" si="160"/>
        <v>0</v>
      </c>
      <c r="CO83" s="62">
        <f t="shared" si="160"/>
        <v>0</v>
      </c>
      <c r="CP83" s="62">
        <f t="shared" si="160"/>
        <v>0</v>
      </c>
      <c r="CQ83" s="62">
        <f t="shared" si="160"/>
        <v>0</v>
      </c>
      <c r="CR83" s="62">
        <f t="shared" si="160"/>
        <v>0</v>
      </c>
      <c r="CS83" s="62">
        <f t="shared" si="160"/>
        <v>0</v>
      </c>
      <c r="CT83" s="62">
        <f t="shared" si="160"/>
        <v>0</v>
      </c>
      <c r="CU83" s="62">
        <f t="shared" si="160"/>
        <v>0</v>
      </c>
      <c r="CV83" s="62">
        <f t="shared" si="160"/>
        <v>0</v>
      </c>
      <c r="CW83" s="62">
        <f t="shared" si="160"/>
        <v>0</v>
      </c>
      <c r="CX83" s="62">
        <f t="shared" si="160"/>
        <v>0</v>
      </c>
      <c r="CY83" s="62">
        <f t="shared" si="160"/>
        <v>0</v>
      </c>
      <c r="CZ83" s="62">
        <f t="shared" si="160"/>
        <v>0</v>
      </c>
      <c r="DA83" s="81">
        <f t="shared" si="160"/>
        <v>0</v>
      </c>
    </row>
    <row r="84" spans="1:106" s="87" customFormat="1" ht="15.75" x14ac:dyDescent="0.25">
      <c r="A84" s="75" t="s">
        <v>1</v>
      </c>
      <c r="B84" s="60" t="s">
        <v>80</v>
      </c>
      <c r="C84" s="61" t="s">
        <v>515</v>
      </c>
      <c r="D84" s="62">
        <f t="shared" ref="D84:D92" si="161">SUM(E84+CA84+CX84)</f>
        <v>211424</v>
      </c>
      <c r="E84" s="63">
        <f t="shared" ref="E84:E92" si="162">SUM(F84+BB84)</f>
        <v>211424</v>
      </c>
      <c r="F84" s="63">
        <f t="shared" ref="F84:F92" si="163">SUM(G84+H84+I84+P84+S84+T84+U84+AE84)</f>
        <v>211424</v>
      </c>
      <c r="G84" s="63">
        <v>0</v>
      </c>
      <c r="H84" s="63">
        <v>0</v>
      </c>
      <c r="I84" s="63">
        <f>SUM(J84:O84)</f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f>SUM(Q84:R84)</f>
        <v>0</v>
      </c>
      <c r="Q84" s="63">
        <v>0</v>
      </c>
      <c r="R84" s="63">
        <v>0</v>
      </c>
      <c r="S84" s="63">
        <v>0</v>
      </c>
      <c r="T84" s="63">
        <v>0</v>
      </c>
      <c r="U84" s="63">
        <f t="shared" ref="U84" si="164">SUM(V84:AC84)</f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4"/>
      <c r="AE84" s="63">
        <f t="shared" ref="AE84" si="165">SUM(AF84:BA84)</f>
        <v>211424</v>
      </c>
      <c r="AF84" s="65">
        <v>0</v>
      </c>
      <c r="AG84" s="64">
        <v>211424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/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  <c r="AZ84" s="63">
        <v>0</v>
      </c>
      <c r="BA84" s="63">
        <v>0</v>
      </c>
      <c r="BB84" s="63">
        <f t="shared" ref="BB84" si="166">SUM(BC84+BG84+BJ84+BL84+BO84)</f>
        <v>0</v>
      </c>
      <c r="BC84" s="63">
        <f t="shared" ref="BC84" si="167">SUM(BD84:BF84)</f>
        <v>0</v>
      </c>
      <c r="BD84" s="63">
        <v>0</v>
      </c>
      <c r="BE84" s="63">
        <v>0</v>
      </c>
      <c r="BF84" s="63">
        <v>0</v>
      </c>
      <c r="BG84" s="63">
        <f t="shared" ref="BG84" si="168">SUM(BI84:BI84)</f>
        <v>0</v>
      </c>
      <c r="BH84" s="63">
        <v>0</v>
      </c>
      <c r="BI84" s="63">
        <v>0</v>
      </c>
      <c r="BJ84" s="63">
        <v>0</v>
      </c>
      <c r="BK84" s="63">
        <v>0</v>
      </c>
      <c r="BL84" s="63">
        <f>SUM(BM84)</f>
        <v>0</v>
      </c>
      <c r="BM84" s="63">
        <v>0</v>
      </c>
      <c r="BN84" s="63">
        <v>0</v>
      </c>
      <c r="BO84" s="63">
        <f t="shared" ref="BO84" si="169">SUM(BP84:BZ84)</f>
        <v>0</v>
      </c>
      <c r="BP84" s="63">
        <v>0</v>
      </c>
      <c r="BQ84" s="63">
        <v>0</v>
      </c>
      <c r="BR84" s="63">
        <v>0</v>
      </c>
      <c r="BS84" s="63">
        <v>0</v>
      </c>
      <c r="BT84" s="63">
        <v>0</v>
      </c>
      <c r="BU84" s="63">
        <v>0</v>
      </c>
      <c r="BV84" s="63">
        <v>0</v>
      </c>
      <c r="BW84" s="63">
        <v>0</v>
      </c>
      <c r="BX84" s="63">
        <v>0</v>
      </c>
      <c r="BY84" s="63">
        <v>0</v>
      </c>
      <c r="BZ84" s="63">
        <v>0</v>
      </c>
      <c r="CA84" s="63">
        <f t="shared" ref="CA84" si="170">SUM(CB84+CT84)</f>
        <v>0</v>
      </c>
      <c r="CB84" s="63">
        <f t="shared" ref="CB84" si="171">SUM(CC84+CF84+CL84)</f>
        <v>0</v>
      </c>
      <c r="CC84" s="63">
        <f>SUM(CD84:CE84)</f>
        <v>0</v>
      </c>
      <c r="CD84" s="63">
        <v>0</v>
      </c>
      <c r="CE84" s="63">
        <v>0</v>
      </c>
      <c r="CF84" s="63">
        <f t="shared" ref="CF84" si="172">SUM(CG84:CK84)</f>
        <v>0</v>
      </c>
      <c r="CG84" s="63">
        <v>0</v>
      </c>
      <c r="CH84" s="63">
        <v>0</v>
      </c>
      <c r="CI84" s="63">
        <v>0</v>
      </c>
      <c r="CJ84" s="63">
        <v>0</v>
      </c>
      <c r="CK84" s="63">
        <v>0</v>
      </c>
      <c r="CL84" s="63">
        <f t="shared" ref="CL84" si="173">SUM(CM84:CQ84)</f>
        <v>0</v>
      </c>
      <c r="CM84" s="63">
        <v>0</v>
      </c>
      <c r="CN84" s="63">
        <v>0</v>
      </c>
      <c r="CO84" s="63">
        <v>0</v>
      </c>
      <c r="CP84" s="63"/>
      <c r="CQ84" s="63"/>
      <c r="CR84" s="63"/>
      <c r="CS84" s="63"/>
      <c r="CT84" s="63">
        <v>0</v>
      </c>
      <c r="CU84" s="63"/>
      <c r="CV84" s="63"/>
      <c r="CW84" s="63"/>
      <c r="CX84" s="63">
        <f>SUM(CY84)</f>
        <v>0</v>
      </c>
      <c r="CY84" s="63">
        <f>SUM(CZ84:DA84)</f>
        <v>0</v>
      </c>
      <c r="CZ84" s="63">
        <v>0</v>
      </c>
      <c r="DA84" s="66">
        <v>0</v>
      </c>
    </row>
    <row r="85" spans="1:106" s="87" customFormat="1" ht="15.75" x14ac:dyDescent="0.25">
      <c r="A85" s="75" t="s">
        <v>1</v>
      </c>
      <c r="B85" s="60" t="s">
        <v>84</v>
      </c>
      <c r="C85" s="61" t="s">
        <v>358</v>
      </c>
      <c r="D85" s="62">
        <f t="shared" si="161"/>
        <v>474887</v>
      </c>
      <c r="E85" s="63">
        <f t="shared" si="162"/>
        <v>474887</v>
      </c>
      <c r="F85" s="63">
        <f t="shared" si="163"/>
        <v>474887</v>
      </c>
      <c r="G85" s="63">
        <v>0</v>
      </c>
      <c r="H85" s="63">
        <v>0</v>
      </c>
      <c r="I85" s="63">
        <f>SUM(J85:O85)</f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f>SUM(Q85:R85)</f>
        <v>0</v>
      </c>
      <c r="Q85" s="63">
        <v>0</v>
      </c>
      <c r="R85" s="63">
        <v>0</v>
      </c>
      <c r="S85" s="63">
        <v>0</v>
      </c>
      <c r="T85" s="63">
        <v>0</v>
      </c>
      <c r="U85" s="63">
        <f t="shared" ref="U85:U92" si="174">SUM(V85:AC85)</f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4"/>
      <c r="AE85" s="63">
        <f t="shared" ref="AE85:AE92" si="175">SUM(AF85:BA85)</f>
        <v>474887</v>
      </c>
      <c r="AF85" s="65">
        <v>0</v>
      </c>
      <c r="AG85" s="64">
        <v>474887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/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f t="shared" ref="BB85:BB92" si="176">SUM(BC85+BG85+BJ85+BL85+BO85)</f>
        <v>0</v>
      </c>
      <c r="BC85" s="63">
        <f t="shared" ref="BC85:BC92" si="177">SUM(BD85:BF85)</f>
        <v>0</v>
      </c>
      <c r="BD85" s="63">
        <v>0</v>
      </c>
      <c r="BE85" s="63">
        <v>0</v>
      </c>
      <c r="BF85" s="63">
        <v>0</v>
      </c>
      <c r="BG85" s="63">
        <f t="shared" ref="BG85:BG92" si="178">SUM(BI85:BI85)</f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f>SUM(BM85)</f>
        <v>0</v>
      </c>
      <c r="BM85" s="63">
        <v>0</v>
      </c>
      <c r="BN85" s="63">
        <v>0</v>
      </c>
      <c r="BO85" s="63">
        <f t="shared" ref="BO85:BO92" si="179">SUM(BP85:BZ85)</f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f t="shared" ref="CA85:CA92" si="180">SUM(CB85+CT85)</f>
        <v>0</v>
      </c>
      <c r="CB85" s="63">
        <f t="shared" ref="CB85:CB92" si="181">SUM(CC85+CF85+CL85)</f>
        <v>0</v>
      </c>
      <c r="CC85" s="63">
        <f>SUM(CD85:CE85)</f>
        <v>0</v>
      </c>
      <c r="CD85" s="63">
        <v>0</v>
      </c>
      <c r="CE85" s="63">
        <v>0</v>
      </c>
      <c r="CF85" s="63">
        <f t="shared" ref="CF85:CF92" si="182">SUM(CG85:CK85)</f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>
        <f t="shared" ref="CL85:CL92" si="183">SUM(CM85:CQ85)</f>
        <v>0</v>
      </c>
      <c r="CM85" s="63">
        <v>0</v>
      </c>
      <c r="CN85" s="63">
        <v>0</v>
      </c>
      <c r="CO85" s="63">
        <v>0</v>
      </c>
      <c r="CP85" s="63"/>
      <c r="CQ85" s="63"/>
      <c r="CR85" s="63"/>
      <c r="CS85" s="63"/>
      <c r="CT85" s="63">
        <v>0</v>
      </c>
      <c r="CU85" s="63"/>
      <c r="CV85" s="63"/>
      <c r="CW85" s="63"/>
      <c r="CX85" s="63">
        <f>SUM(CY85)</f>
        <v>0</v>
      </c>
      <c r="CY85" s="63">
        <f>SUM(CZ85:DA85)</f>
        <v>0</v>
      </c>
      <c r="CZ85" s="63">
        <v>0</v>
      </c>
      <c r="DA85" s="66">
        <v>0</v>
      </c>
    </row>
    <row r="86" spans="1:106" s="87" customFormat="1" ht="15.75" x14ac:dyDescent="0.25">
      <c r="A86" s="75" t="s">
        <v>1</v>
      </c>
      <c r="B86" s="60" t="s">
        <v>86</v>
      </c>
      <c r="C86" s="61" t="s">
        <v>187</v>
      </c>
      <c r="D86" s="62">
        <f t="shared" si="161"/>
        <v>3636305</v>
      </c>
      <c r="E86" s="63">
        <f t="shared" si="162"/>
        <v>3636305</v>
      </c>
      <c r="F86" s="63">
        <f t="shared" si="163"/>
        <v>3636305</v>
      </c>
      <c r="G86" s="63">
        <v>0</v>
      </c>
      <c r="H86" s="63">
        <v>0</v>
      </c>
      <c r="I86" s="63">
        <f>SUM(J86:O86)</f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f>SUM(Q86:R86)</f>
        <v>0</v>
      </c>
      <c r="Q86" s="63">
        <v>0</v>
      </c>
      <c r="R86" s="63">
        <v>0</v>
      </c>
      <c r="S86" s="63">
        <v>0</v>
      </c>
      <c r="T86" s="63">
        <v>0</v>
      </c>
      <c r="U86" s="63">
        <f t="shared" si="174"/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4"/>
      <c r="AE86" s="63">
        <f t="shared" si="175"/>
        <v>3636305</v>
      </c>
      <c r="AF86" s="65">
        <v>0</v>
      </c>
      <c r="AG86" s="64">
        <v>3636305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/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f t="shared" si="176"/>
        <v>0</v>
      </c>
      <c r="BC86" s="63">
        <f t="shared" si="177"/>
        <v>0</v>
      </c>
      <c r="BD86" s="63">
        <v>0</v>
      </c>
      <c r="BE86" s="63">
        <v>0</v>
      </c>
      <c r="BF86" s="63">
        <v>0</v>
      </c>
      <c r="BG86" s="63">
        <f t="shared" si="178"/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f>SUM(BM86)</f>
        <v>0</v>
      </c>
      <c r="BM86" s="63">
        <v>0</v>
      </c>
      <c r="BN86" s="63">
        <v>0</v>
      </c>
      <c r="BO86" s="63">
        <f t="shared" si="179"/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f t="shared" si="180"/>
        <v>0</v>
      </c>
      <c r="CB86" s="63">
        <f t="shared" si="181"/>
        <v>0</v>
      </c>
      <c r="CC86" s="63">
        <f>SUM(CD86:CE86)</f>
        <v>0</v>
      </c>
      <c r="CD86" s="63">
        <v>0</v>
      </c>
      <c r="CE86" s="63">
        <v>0</v>
      </c>
      <c r="CF86" s="63">
        <f t="shared" si="182"/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>
        <f t="shared" si="183"/>
        <v>0</v>
      </c>
      <c r="CM86" s="63">
        <v>0</v>
      </c>
      <c r="CN86" s="63">
        <v>0</v>
      </c>
      <c r="CO86" s="63">
        <v>0</v>
      </c>
      <c r="CP86" s="63"/>
      <c r="CQ86" s="63"/>
      <c r="CR86" s="63"/>
      <c r="CS86" s="63"/>
      <c r="CT86" s="63">
        <v>0</v>
      </c>
      <c r="CU86" s="63"/>
      <c r="CV86" s="63"/>
      <c r="CW86" s="63"/>
      <c r="CX86" s="63">
        <f>SUM(CY86)</f>
        <v>0</v>
      </c>
      <c r="CY86" s="63">
        <f>SUM(CZ86:DA86)</f>
        <v>0</v>
      </c>
      <c r="CZ86" s="63">
        <v>0</v>
      </c>
      <c r="DA86" s="66">
        <v>0</v>
      </c>
    </row>
    <row r="87" spans="1:106" s="87" customFormat="1" ht="31.5" x14ac:dyDescent="0.25">
      <c r="A87" s="75" t="s">
        <v>1</v>
      </c>
      <c r="B87" s="60" t="s">
        <v>153</v>
      </c>
      <c r="C87" s="61" t="s">
        <v>532</v>
      </c>
      <c r="D87" s="62">
        <f t="shared" si="161"/>
        <v>200142</v>
      </c>
      <c r="E87" s="63">
        <f t="shared" si="162"/>
        <v>200142</v>
      </c>
      <c r="F87" s="63">
        <f t="shared" si="163"/>
        <v>200142</v>
      </c>
      <c r="G87" s="63">
        <v>0</v>
      </c>
      <c r="H87" s="63">
        <v>0</v>
      </c>
      <c r="I87" s="63">
        <f t="shared" si="120"/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f t="shared" si="121"/>
        <v>0</v>
      </c>
      <c r="Q87" s="63">
        <v>0</v>
      </c>
      <c r="R87" s="63">
        <v>0</v>
      </c>
      <c r="S87" s="63">
        <v>0</v>
      </c>
      <c r="T87" s="63">
        <v>0</v>
      </c>
      <c r="U87" s="63">
        <f t="shared" si="174"/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4"/>
      <c r="AE87" s="63">
        <f t="shared" si="175"/>
        <v>200142</v>
      </c>
      <c r="AF87" s="65">
        <v>0</v>
      </c>
      <c r="AG87" s="64">
        <v>200142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/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f t="shared" si="176"/>
        <v>0</v>
      </c>
      <c r="BC87" s="63">
        <f t="shared" si="177"/>
        <v>0</v>
      </c>
      <c r="BD87" s="63">
        <v>0</v>
      </c>
      <c r="BE87" s="63">
        <v>0</v>
      </c>
      <c r="BF87" s="63">
        <v>0</v>
      </c>
      <c r="BG87" s="63">
        <f t="shared" si="178"/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f t="shared" si="122"/>
        <v>0</v>
      </c>
      <c r="BM87" s="63">
        <v>0</v>
      </c>
      <c r="BN87" s="63">
        <v>0</v>
      </c>
      <c r="BO87" s="63">
        <f t="shared" si="179"/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f t="shared" si="180"/>
        <v>0</v>
      </c>
      <c r="CB87" s="63">
        <f t="shared" si="181"/>
        <v>0</v>
      </c>
      <c r="CC87" s="63">
        <f t="shared" si="123"/>
        <v>0</v>
      </c>
      <c r="CD87" s="63">
        <v>0</v>
      </c>
      <c r="CE87" s="63">
        <v>0</v>
      </c>
      <c r="CF87" s="63">
        <f t="shared" si="182"/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f t="shared" si="183"/>
        <v>0</v>
      </c>
      <c r="CM87" s="63">
        <v>0</v>
      </c>
      <c r="CN87" s="63">
        <v>0</v>
      </c>
      <c r="CO87" s="63">
        <v>0</v>
      </c>
      <c r="CP87" s="63"/>
      <c r="CQ87" s="63"/>
      <c r="CR87" s="63"/>
      <c r="CS87" s="63"/>
      <c r="CT87" s="63">
        <v>0</v>
      </c>
      <c r="CU87" s="63"/>
      <c r="CV87" s="63"/>
      <c r="CW87" s="63"/>
      <c r="CX87" s="63">
        <f t="shared" si="124"/>
        <v>0</v>
      </c>
      <c r="CY87" s="63">
        <f t="shared" si="125"/>
        <v>0</v>
      </c>
      <c r="CZ87" s="63">
        <v>0</v>
      </c>
      <c r="DA87" s="66">
        <v>0</v>
      </c>
    </row>
    <row r="88" spans="1:106" s="87" customFormat="1" ht="31.5" x14ac:dyDescent="0.25">
      <c r="A88" s="75"/>
      <c r="B88" s="68" t="s">
        <v>90</v>
      </c>
      <c r="C88" s="69" t="s">
        <v>482</v>
      </c>
      <c r="D88" s="62">
        <f t="shared" si="161"/>
        <v>1379836</v>
      </c>
      <c r="E88" s="63">
        <f t="shared" si="162"/>
        <v>1379836</v>
      </c>
      <c r="F88" s="63">
        <f t="shared" si="163"/>
        <v>1379836</v>
      </c>
      <c r="G88" s="64">
        <v>0</v>
      </c>
      <c r="H88" s="64">
        <v>0</v>
      </c>
      <c r="I88" s="63">
        <f t="shared" ref="I88" si="184">SUM(J88:O88)</f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3">
        <f t="shared" ref="P88" si="185">SUM(Q88:R88)</f>
        <v>0</v>
      </c>
      <c r="Q88" s="63">
        <v>0</v>
      </c>
      <c r="R88" s="63">
        <v>0</v>
      </c>
      <c r="S88" s="63">
        <v>0</v>
      </c>
      <c r="T88" s="63">
        <v>0</v>
      </c>
      <c r="U88" s="63">
        <f t="shared" ref="U88" si="186">SUM(V88:AC88)</f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4"/>
      <c r="AE88" s="63">
        <f t="shared" si="175"/>
        <v>1379836</v>
      </c>
      <c r="AF88" s="65">
        <v>0</v>
      </c>
      <c r="AG88" s="64">
        <v>1379836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/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f t="shared" si="176"/>
        <v>0</v>
      </c>
      <c r="BC88" s="63">
        <f t="shared" ref="BC88" si="187">SUM(BD88:BF88)</f>
        <v>0</v>
      </c>
      <c r="BD88" s="63">
        <v>0</v>
      </c>
      <c r="BE88" s="63">
        <v>0</v>
      </c>
      <c r="BF88" s="63">
        <v>0</v>
      </c>
      <c r="BG88" s="63">
        <f t="shared" si="178"/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f t="shared" ref="BL88" si="188">SUM(BM88)</f>
        <v>0</v>
      </c>
      <c r="BM88" s="63">
        <v>0</v>
      </c>
      <c r="BN88" s="63">
        <v>0</v>
      </c>
      <c r="BO88" s="63">
        <f t="shared" si="179"/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f t="shared" si="180"/>
        <v>0</v>
      </c>
      <c r="CB88" s="63">
        <f t="shared" si="181"/>
        <v>0</v>
      </c>
      <c r="CC88" s="63">
        <f t="shared" ref="CC88" si="189">SUM(CD88:CE88)</f>
        <v>0</v>
      </c>
      <c r="CD88" s="63">
        <v>0</v>
      </c>
      <c r="CE88" s="63">
        <v>0</v>
      </c>
      <c r="CF88" s="63">
        <f t="shared" si="182"/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>
        <f t="shared" si="183"/>
        <v>0</v>
      </c>
      <c r="CM88" s="63">
        <v>0</v>
      </c>
      <c r="CN88" s="63">
        <v>0</v>
      </c>
      <c r="CO88" s="63">
        <v>0</v>
      </c>
      <c r="CP88" s="63"/>
      <c r="CQ88" s="63"/>
      <c r="CR88" s="63"/>
      <c r="CS88" s="63"/>
      <c r="CT88" s="63">
        <v>0</v>
      </c>
      <c r="CU88" s="63"/>
      <c r="CV88" s="63"/>
      <c r="CW88" s="63"/>
      <c r="CX88" s="63">
        <f t="shared" ref="CX88" si="190">SUM(CY88)</f>
        <v>0</v>
      </c>
      <c r="CY88" s="63">
        <f t="shared" ref="CY88" si="191">SUM(CZ88:DA88)</f>
        <v>0</v>
      </c>
      <c r="CZ88" s="63">
        <v>0</v>
      </c>
      <c r="DA88" s="66">
        <v>0</v>
      </c>
    </row>
    <row r="89" spans="1:106" s="87" customFormat="1" ht="31.5" x14ac:dyDescent="0.25">
      <c r="A89" s="75" t="s">
        <v>1</v>
      </c>
      <c r="B89" s="68" t="s">
        <v>92</v>
      </c>
      <c r="C89" s="69" t="s">
        <v>483</v>
      </c>
      <c r="D89" s="62">
        <f t="shared" si="161"/>
        <v>6313466</v>
      </c>
      <c r="E89" s="63">
        <f t="shared" si="162"/>
        <v>6313466</v>
      </c>
      <c r="F89" s="63">
        <f t="shared" si="163"/>
        <v>6313466</v>
      </c>
      <c r="G89" s="64">
        <v>0</v>
      </c>
      <c r="H89" s="64">
        <v>0</v>
      </c>
      <c r="I89" s="63">
        <f t="shared" si="120"/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63">
        <f t="shared" si="121"/>
        <v>0</v>
      </c>
      <c r="Q89" s="63">
        <v>0</v>
      </c>
      <c r="R89" s="63">
        <v>0</v>
      </c>
      <c r="S89" s="63">
        <v>0</v>
      </c>
      <c r="T89" s="63">
        <v>0</v>
      </c>
      <c r="U89" s="63">
        <f t="shared" si="174"/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4"/>
      <c r="AE89" s="63">
        <f t="shared" si="175"/>
        <v>6313466</v>
      </c>
      <c r="AF89" s="65">
        <v>0</v>
      </c>
      <c r="AG89" s="64">
        <f>259351+5622911+431204</f>
        <v>6313466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/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f t="shared" si="176"/>
        <v>0</v>
      </c>
      <c r="BC89" s="63">
        <f t="shared" si="177"/>
        <v>0</v>
      </c>
      <c r="BD89" s="63">
        <v>0</v>
      </c>
      <c r="BE89" s="63">
        <v>0</v>
      </c>
      <c r="BF89" s="63">
        <v>0</v>
      </c>
      <c r="BG89" s="63">
        <f t="shared" si="178"/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f t="shared" si="122"/>
        <v>0</v>
      </c>
      <c r="BM89" s="63">
        <v>0</v>
      </c>
      <c r="BN89" s="63">
        <v>0</v>
      </c>
      <c r="BO89" s="63">
        <f t="shared" si="179"/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f t="shared" si="180"/>
        <v>0</v>
      </c>
      <c r="CB89" s="63">
        <f t="shared" si="181"/>
        <v>0</v>
      </c>
      <c r="CC89" s="63">
        <f t="shared" si="123"/>
        <v>0</v>
      </c>
      <c r="CD89" s="63">
        <v>0</v>
      </c>
      <c r="CE89" s="63">
        <v>0</v>
      </c>
      <c r="CF89" s="63">
        <f t="shared" si="182"/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>
        <f t="shared" si="183"/>
        <v>0</v>
      </c>
      <c r="CM89" s="63">
        <v>0</v>
      </c>
      <c r="CN89" s="63">
        <v>0</v>
      </c>
      <c r="CO89" s="63">
        <v>0</v>
      </c>
      <c r="CP89" s="63"/>
      <c r="CQ89" s="63"/>
      <c r="CR89" s="63"/>
      <c r="CS89" s="63"/>
      <c r="CT89" s="63">
        <v>0</v>
      </c>
      <c r="CU89" s="63"/>
      <c r="CV89" s="63"/>
      <c r="CW89" s="63"/>
      <c r="CX89" s="63">
        <f t="shared" si="124"/>
        <v>0</v>
      </c>
      <c r="CY89" s="63">
        <f t="shared" si="125"/>
        <v>0</v>
      </c>
      <c r="CZ89" s="63">
        <v>0</v>
      </c>
      <c r="DA89" s="66">
        <v>0</v>
      </c>
    </row>
    <row r="90" spans="1:106" ht="31.5" x14ac:dyDescent="0.25">
      <c r="A90" s="74" t="s">
        <v>1</v>
      </c>
      <c r="B90" s="36" t="s">
        <v>188</v>
      </c>
      <c r="C90" s="37" t="s">
        <v>359</v>
      </c>
      <c r="D90" s="38">
        <f t="shared" si="161"/>
        <v>365042</v>
      </c>
      <c r="E90" s="39">
        <f t="shared" si="162"/>
        <v>365042</v>
      </c>
      <c r="F90" s="39">
        <f t="shared" si="163"/>
        <v>365042</v>
      </c>
      <c r="G90" s="35">
        <v>296421</v>
      </c>
      <c r="H90" s="35">
        <v>68621</v>
      </c>
      <c r="I90" s="39">
        <f t="shared" si="120"/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/>
      <c r="P90" s="39">
        <f t="shared" si="121"/>
        <v>0</v>
      </c>
      <c r="Q90" s="39">
        <v>0</v>
      </c>
      <c r="R90" s="39"/>
      <c r="S90" s="39">
        <v>0</v>
      </c>
      <c r="T90" s="39">
        <v>0</v>
      </c>
      <c r="U90" s="39">
        <f t="shared" si="174"/>
        <v>0</v>
      </c>
      <c r="V90" s="39">
        <v>0</v>
      </c>
      <c r="W90" s="39">
        <v>0</v>
      </c>
      <c r="X90" s="39">
        <v>0</v>
      </c>
      <c r="Y90" s="39">
        <v>0</v>
      </c>
      <c r="Z90" s="39">
        <v>0</v>
      </c>
      <c r="AA90" s="39">
        <v>0</v>
      </c>
      <c r="AB90" s="39">
        <v>0</v>
      </c>
      <c r="AC90" s="39">
        <v>0</v>
      </c>
      <c r="AD90" s="35"/>
      <c r="AE90" s="39">
        <f t="shared" si="175"/>
        <v>0</v>
      </c>
      <c r="AF90" s="40">
        <v>0</v>
      </c>
      <c r="AG90" s="35">
        <v>0</v>
      </c>
      <c r="AH90" s="39">
        <v>0</v>
      </c>
      <c r="AI90" s="39">
        <v>0</v>
      </c>
      <c r="AJ90" s="39">
        <v>0</v>
      </c>
      <c r="AK90" s="39">
        <v>0</v>
      </c>
      <c r="AL90" s="39">
        <v>0</v>
      </c>
      <c r="AM90" s="39">
        <v>0</v>
      </c>
      <c r="AN90" s="39">
        <v>0</v>
      </c>
      <c r="AO90" s="39">
        <v>0</v>
      </c>
      <c r="AP90" s="39">
        <v>0</v>
      </c>
      <c r="AQ90" s="39"/>
      <c r="AR90" s="39">
        <v>0</v>
      </c>
      <c r="AS90" s="39">
        <v>0</v>
      </c>
      <c r="AT90" s="39">
        <v>0</v>
      </c>
      <c r="AU90" s="39">
        <v>0</v>
      </c>
      <c r="AV90" s="39">
        <v>0</v>
      </c>
      <c r="AW90" s="39">
        <v>0</v>
      </c>
      <c r="AX90" s="39">
        <v>0</v>
      </c>
      <c r="AY90" s="39">
        <v>0</v>
      </c>
      <c r="AZ90" s="39">
        <v>0</v>
      </c>
      <c r="BA90" s="39">
        <v>0</v>
      </c>
      <c r="BB90" s="39">
        <f t="shared" si="176"/>
        <v>0</v>
      </c>
      <c r="BC90" s="39">
        <f t="shared" si="177"/>
        <v>0</v>
      </c>
      <c r="BD90" s="39">
        <v>0</v>
      </c>
      <c r="BE90" s="39">
        <v>0</v>
      </c>
      <c r="BF90" s="39">
        <v>0</v>
      </c>
      <c r="BG90" s="39">
        <f t="shared" si="178"/>
        <v>0</v>
      </c>
      <c r="BH90" s="39">
        <v>0</v>
      </c>
      <c r="BI90" s="39">
        <v>0</v>
      </c>
      <c r="BJ90" s="39">
        <v>0</v>
      </c>
      <c r="BK90" s="39">
        <v>0</v>
      </c>
      <c r="BL90" s="39">
        <f t="shared" si="122"/>
        <v>0</v>
      </c>
      <c r="BM90" s="39">
        <v>0</v>
      </c>
      <c r="BN90" s="39">
        <v>0</v>
      </c>
      <c r="BO90" s="39">
        <f t="shared" si="179"/>
        <v>0</v>
      </c>
      <c r="BP90" s="39">
        <v>0</v>
      </c>
      <c r="BQ90" s="39">
        <v>0</v>
      </c>
      <c r="BR90" s="39">
        <v>0</v>
      </c>
      <c r="BS90" s="39">
        <v>0</v>
      </c>
      <c r="BT90" s="39">
        <v>0</v>
      </c>
      <c r="BU90" s="39">
        <v>0</v>
      </c>
      <c r="BV90" s="39">
        <v>0</v>
      </c>
      <c r="BW90" s="39">
        <v>0</v>
      </c>
      <c r="BX90" s="39">
        <v>0</v>
      </c>
      <c r="BY90" s="39">
        <v>0</v>
      </c>
      <c r="BZ90" s="39">
        <v>0</v>
      </c>
      <c r="CA90" s="39">
        <f t="shared" si="180"/>
        <v>0</v>
      </c>
      <c r="CB90" s="39">
        <f t="shared" si="181"/>
        <v>0</v>
      </c>
      <c r="CC90" s="39">
        <f t="shared" si="123"/>
        <v>0</v>
      </c>
      <c r="CD90" s="39">
        <v>0</v>
      </c>
      <c r="CE90" s="39"/>
      <c r="CF90" s="19">
        <f t="shared" si="182"/>
        <v>0</v>
      </c>
      <c r="CG90" s="39">
        <v>0</v>
      </c>
      <c r="CH90" s="39">
        <v>0</v>
      </c>
      <c r="CI90" s="39">
        <v>0</v>
      </c>
      <c r="CJ90" s="39">
        <v>0</v>
      </c>
      <c r="CK90" s="39">
        <v>0</v>
      </c>
      <c r="CL90" s="39">
        <f t="shared" si="183"/>
        <v>0</v>
      </c>
      <c r="CM90" s="39">
        <v>0</v>
      </c>
      <c r="CN90" s="39">
        <v>0</v>
      </c>
      <c r="CO90" s="39">
        <v>0</v>
      </c>
      <c r="CP90" s="39"/>
      <c r="CQ90" s="39"/>
      <c r="CR90" s="39"/>
      <c r="CS90" s="39"/>
      <c r="CT90" s="39">
        <v>0</v>
      </c>
      <c r="CU90" s="39"/>
      <c r="CV90" s="39"/>
      <c r="CW90" s="39"/>
      <c r="CX90" s="39">
        <f t="shared" si="124"/>
        <v>0</v>
      </c>
      <c r="CY90" s="39">
        <f t="shared" si="125"/>
        <v>0</v>
      </c>
      <c r="CZ90" s="39">
        <v>0</v>
      </c>
      <c r="DA90" s="41">
        <v>0</v>
      </c>
    </row>
    <row r="91" spans="1:106" ht="31.5" x14ac:dyDescent="0.25">
      <c r="A91" s="74"/>
      <c r="B91" s="36" t="s">
        <v>100</v>
      </c>
      <c r="C91" s="37" t="s">
        <v>185</v>
      </c>
      <c r="D91" s="38">
        <f t="shared" si="161"/>
        <v>72028</v>
      </c>
      <c r="E91" s="39">
        <f t="shared" si="162"/>
        <v>72028</v>
      </c>
      <c r="F91" s="39">
        <f t="shared" si="163"/>
        <v>72028</v>
      </c>
      <c r="G91" s="35">
        <v>0</v>
      </c>
      <c r="H91" s="35">
        <v>0</v>
      </c>
      <c r="I91" s="39">
        <f t="shared" ref="I91" si="192">SUM(J91:O91)</f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9">
        <f t="shared" ref="P91" si="193">SUM(Q91:R91)</f>
        <v>0</v>
      </c>
      <c r="Q91" s="39">
        <v>0</v>
      </c>
      <c r="R91" s="39">
        <v>0</v>
      </c>
      <c r="S91" s="39">
        <v>0</v>
      </c>
      <c r="T91" s="39">
        <v>0</v>
      </c>
      <c r="U91" s="39">
        <f t="shared" ref="U91" si="194">SUM(V91:AC91)</f>
        <v>0</v>
      </c>
      <c r="V91" s="39">
        <v>0</v>
      </c>
      <c r="W91" s="39">
        <v>0</v>
      </c>
      <c r="X91" s="39">
        <v>0</v>
      </c>
      <c r="Y91" s="39">
        <v>0</v>
      </c>
      <c r="Z91" s="39">
        <v>0</v>
      </c>
      <c r="AA91" s="39">
        <v>0</v>
      </c>
      <c r="AB91" s="39">
        <v>0</v>
      </c>
      <c r="AC91" s="39">
        <v>0</v>
      </c>
      <c r="AD91" s="35"/>
      <c r="AE91" s="39">
        <f t="shared" ref="AE91" si="195">SUM(AF91:BA91)</f>
        <v>72028</v>
      </c>
      <c r="AF91" s="40">
        <v>0</v>
      </c>
      <c r="AG91" s="35">
        <v>72028</v>
      </c>
      <c r="AH91" s="39">
        <v>0</v>
      </c>
      <c r="AI91" s="39">
        <v>0</v>
      </c>
      <c r="AJ91" s="39">
        <v>0</v>
      </c>
      <c r="AK91" s="39">
        <v>0</v>
      </c>
      <c r="AL91" s="39">
        <v>0</v>
      </c>
      <c r="AM91" s="39">
        <v>0</v>
      </c>
      <c r="AN91" s="39">
        <v>0</v>
      </c>
      <c r="AO91" s="39">
        <v>0</v>
      </c>
      <c r="AP91" s="39">
        <v>0</v>
      </c>
      <c r="AQ91" s="39"/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v>0</v>
      </c>
      <c r="BB91" s="39">
        <f t="shared" ref="BB91" si="196">SUM(BC91+BG91+BJ91+BL91+BO91)</f>
        <v>0</v>
      </c>
      <c r="BC91" s="39">
        <f t="shared" ref="BC91" si="197">SUM(BD91:BF91)</f>
        <v>0</v>
      </c>
      <c r="BD91" s="39">
        <v>0</v>
      </c>
      <c r="BE91" s="39">
        <v>0</v>
      </c>
      <c r="BF91" s="39">
        <v>0</v>
      </c>
      <c r="BG91" s="39">
        <f t="shared" ref="BG91" si="198">SUM(BI91:BI91)</f>
        <v>0</v>
      </c>
      <c r="BH91" s="39">
        <v>0</v>
      </c>
      <c r="BI91" s="39">
        <v>0</v>
      </c>
      <c r="BJ91" s="39">
        <v>0</v>
      </c>
      <c r="BK91" s="39">
        <v>0</v>
      </c>
      <c r="BL91" s="39">
        <f t="shared" ref="BL91" si="199">SUM(BM91)</f>
        <v>0</v>
      </c>
      <c r="BM91" s="39">
        <v>0</v>
      </c>
      <c r="BN91" s="39">
        <v>0</v>
      </c>
      <c r="BO91" s="39">
        <f t="shared" ref="BO91" si="200">SUM(BP91:BZ91)</f>
        <v>0</v>
      </c>
      <c r="BP91" s="39">
        <v>0</v>
      </c>
      <c r="BQ91" s="39">
        <v>0</v>
      </c>
      <c r="BR91" s="39">
        <v>0</v>
      </c>
      <c r="BS91" s="39">
        <v>0</v>
      </c>
      <c r="BT91" s="39">
        <v>0</v>
      </c>
      <c r="BU91" s="39">
        <v>0</v>
      </c>
      <c r="BV91" s="39">
        <v>0</v>
      </c>
      <c r="BW91" s="39">
        <v>0</v>
      </c>
      <c r="BX91" s="39">
        <v>0</v>
      </c>
      <c r="BY91" s="39">
        <v>0</v>
      </c>
      <c r="BZ91" s="39">
        <v>0</v>
      </c>
      <c r="CA91" s="39">
        <f t="shared" ref="CA91" si="201">SUM(CB91+CT91)</f>
        <v>0</v>
      </c>
      <c r="CB91" s="39">
        <f t="shared" ref="CB91" si="202">SUM(CC91+CF91+CL91)</f>
        <v>0</v>
      </c>
      <c r="CC91" s="39">
        <f t="shared" ref="CC91" si="203">SUM(CD91:CE91)</f>
        <v>0</v>
      </c>
      <c r="CD91" s="39">
        <v>0</v>
      </c>
      <c r="CE91" s="39">
        <v>0</v>
      </c>
      <c r="CF91" s="19">
        <f t="shared" ref="CF91" si="204">SUM(CG91:CK91)</f>
        <v>0</v>
      </c>
      <c r="CG91" s="39">
        <v>0</v>
      </c>
      <c r="CH91" s="39">
        <v>0</v>
      </c>
      <c r="CI91" s="39">
        <v>0</v>
      </c>
      <c r="CJ91" s="39">
        <v>0</v>
      </c>
      <c r="CK91" s="39">
        <v>0</v>
      </c>
      <c r="CL91" s="39">
        <f t="shared" ref="CL91" si="205">SUM(CM91:CQ91)</f>
        <v>0</v>
      </c>
      <c r="CM91" s="39">
        <v>0</v>
      </c>
      <c r="CN91" s="39">
        <v>0</v>
      </c>
      <c r="CO91" s="39">
        <v>0</v>
      </c>
      <c r="CP91" s="39"/>
      <c r="CQ91" s="39"/>
      <c r="CR91" s="39"/>
      <c r="CS91" s="39"/>
      <c r="CT91" s="39">
        <v>0</v>
      </c>
      <c r="CU91" s="39"/>
      <c r="CV91" s="39"/>
      <c r="CW91" s="39"/>
      <c r="CX91" s="39">
        <f t="shared" ref="CX91" si="206">SUM(CY91)</f>
        <v>0</v>
      </c>
      <c r="CY91" s="39">
        <f t="shared" ref="CY91" si="207">SUM(CZ91:DA91)</f>
        <v>0</v>
      </c>
      <c r="CZ91" s="39">
        <v>0</v>
      </c>
      <c r="DA91" s="41">
        <v>0</v>
      </c>
    </row>
    <row r="92" spans="1:106" s="84" customFormat="1" ht="31.5" x14ac:dyDescent="0.25">
      <c r="A92" s="74"/>
      <c r="B92" s="42" t="s">
        <v>104</v>
      </c>
      <c r="C92" s="43" t="s">
        <v>484</v>
      </c>
      <c r="D92" s="38">
        <f t="shared" si="161"/>
        <v>300053</v>
      </c>
      <c r="E92" s="39">
        <f t="shared" si="162"/>
        <v>300053</v>
      </c>
      <c r="F92" s="39">
        <f t="shared" si="163"/>
        <v>300053</v>
      </c>
      <c r="G92" s="35">
        <v>0</v>
      </c>
      <c r="H92" s="35">
        <v>0</v>
      </c>
      <c r="I92" s="39">
        <f t="shared" si="120"/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9">
        <f t="shared" si="121"/>
        <v>0</v>
      </c>
      <c r="Q92" s="39">
        <v>0</v>
      </c>
      <c r="R92" s="39">
        <v>0</v>
      </c>
      <c r="S92" s="39">
        <v>0</v>
      </c>
      <c r="T92" s="39">
        <v>0</v>
      </c>
      <c r="U92" s="39">
        <f t="shared" si="174"/>
        <v>0</v>
      </c>
      <c r="V92" s="39">
        <v>0</v>
      </c>
      <c r="W92" s="39">
        <v>0</v>
      </c>
      <c r="X92" s="39">
        <v>0</v>
      </c>
      <c r="Y92" s="39">
        <v>0</v>
      </c>
      <c r="Z92" s="39">
        <v>0</v>
      </c>
      <c r="AA92" s="39">
        <v>0</v>
      </c>
      <c r="AB92" s="39">
        <v>0</v>
      </c>
      <c r="AC92" s="39">
        <v>0</v>
      </c>
      <c r="AD92" s="35"/>
      <c r="AE92" s="39">
        <f t="shared" si="175"/>
        <v>300053</v>
      </c>
      <c r="AF92" s="40">
        <v>0</v>
      </c>
      <c r="AG92" s="35">
        <v>300053</v>
      </c>
      <c r="AH92" s="39">
        <v>0</v>
      </c>
      <c r="AI92" s="39">
        <v>0</v>
      </c>
      <c r="AJ92" s="39">
        <v>0</v>
      </c>
      <c r="AK92" s="39">
        <v>0</v>
      </c>
      <c r="AL92" s="39">
        <v>0</v>
      </c>
      <c r="AM92" s="39">
        <v>0</v>
      </c>
      <c r="AN92" s="39">
        <v>0</v>
      </c>
      <c r="AO92" s="39">
        <v>0</v>
      </c>
      <c r="AP92" s="39">
        <v>0</v>
      </c>
      <c r="AQ92" s="39"/>
      <c r="AR92" s="39">
        <v>0</v>
      </c>
      <c r="AS92" s="39">
        <v>0</v>
      </c>
      <c r="AT92" s="39">
        <v>0</v>
      </c>
      <c r="AU92" s="39">
        <v>0</v>
      </c>
      <c r="AV92" s="39">
        <v>0</v>
      </c>
      <c r="AW92" s="39">
        <v>0</v>
      </c>
      <c r="AX92" s="39">
        <v>0</v>
      </c>
      <c r="AY92" s="39">
        <v>0</v>
      </c>
      <c r="AZ92" s="39">
        <v>0</v>
      </c>
      <c r="BA92" s="39">
        <v>0</v>
      </c>
      <c r="BB92" s="39">
        <f t="shared" si="176"/>
        <v>0</v>
      </c>
      <c r="BC92" s="39">
        <f t="shared" si="177"/>
        <v>0</v>
      </c>
      <c r="BD92" s="39">
        <v>0</v>
      </c>
      <c r="BE92" s="39">
        <v>0</v>
      </c>
      <c r="BF92" s="39">
        <v>0</v>
      </c>
      <c r="BG92" s="39">
        <f t="shared" si="178"/>
        <v>0</v>
      </c>
      <c r="BH92" s="39">
        <v>0</v>
      </c>
      <c r="BI92" s="39">
        <v>0</v>
      </c>
      <c r="BJ92" s="39">
        <v>0</v>
      </c>
      <c r="BK92" s="39">
        <v>0</v>
      </c>
      <c r="BL92" s="39">
        <f t="shared" si="122"/>
        <v>0</v>
      </c>
      <c r="BM92" s="39">
        <v>0</v>
      </c>
      <c r="BN92" s="39">
        <v>0</v>
      </c>
      <c r="BO92" s="39">
        <f t="shared" si="179"/>
        <v>0</v>
      </c>
      <c r="BP92" s="39">
        <v>0</v>
      </c>
      <c r="BQ92" s="39">
        <v>0</v>
      </c>
      <c r="BR92" s="39">
        <v>0</v>
      </c>
      <c r="BS92" s="39">
        <v>0</v>
      </c>
      <c r="BT92" s="39">
        <v>0</v>
      </c>
      <c r="BU92" s="39">
        <v>0</v>
      </c>
      <c r="BV92" s="39">
        <v>0</v>
      </c>
      <c r="BW92" s="39">
        <v>0</v>
      </c>
      <c r="BX92" s="39">
        <v>0</v>
      </c>
      <c r="BY92" s="39">
        <v>0</v>
      </c>
      <c r="BZ92" s="39">
        <v>0</v>
      </c>
      <c r="CA92" s="39">
        <f t="shared" si="180"/>
        <v>0</v>
      </c>
      <c r="CB92" s="39">
        <f t="shared" si="181"/>
        <v>0</v>
      </c>
      <c r="CC92" s="39">
        <f t="shared" si="123"/>
        <v>0</v>
      </c>
      <c r="CD92" s="39">
        <v>0</v>
      </c>
      <c r="CE92" s="39">
        <v>0</v>
      </c>
      <c r="CF92" s="19">
        <f t="shared" si="182"/>
        <v>0</v>
      </c>
      <c r="CG92" s="39">
        <v>0</v>
      </c>
      <c r="CH92" s="39">
        <v>0</v>
      </c>
      <c r="CI92" s="39">
        <v>0</v>
      </c>
      <c r="CJ92" s="39">
        <v>0</v>
      </c>
      <c r="CK92" s="39">
        <v>0</v>
      </c>
      <c r="CL92" s="39">
        <f t="shared" si="183"/>
        <v>0</v>
      </c>
      <c r="CM92" s="39">
        <v>0</v>
      </c>
      <c r="CN92" s="39">
        <v>0</v>
      </c>
      <c r="CO92" s="39">
        <v>0</v>
      </c>
      <c r="CP92" s="39"/>
      <c r="CQ92" s="39"/>
      <c r="CR92" s="39"/>
      <c r="CS92" s="39"/>
      <c r="CT92" s="39">
        <v>0</v>
      </c>
      <c r="CU92" s="39"/>
      <c r="CV92" s="39"/>
      <c r="CW92" s="39"/>
      <c r="CX92" s="39">
        <f t="shared" si="124"/>
        <v>0</v>
      </c>
      <c r="CY92" s="39">
        <f t="shared" si="125"/>
        <v>0</v>
      </c>
      <c r="CZ92" s="39">
        <v>0</v>
      </c>
      <c r="DA92" s="41">
        <v>0</v>
      </c>
    </row>
    <row r="93" spans="1:106" s="85" customFormat="1" ht="31.5" x14ac:dyDescent="0.25">
      <c r="A93" s="73" t="s">
        <v>189</v>
      </c>
      <c r="B93" s="25" t="s">
        <v>1</v>
      </c>
      <c r="C93" s="26" t="s">
        <v>190</v>
      </c>
      <c r="D93" s="27">
        <f>SUM(D94)</f>
        <v>225972499</v>
      </c>
      <c r="E93" s="27">
        <f t="shared" ref="E93:BU94" si="208">SUM(E94)</f>
        <v>225972499</v>
      </c>
      <c r="F93" s="27">
        <f t="shared" si="208"/>
        <v>0</v>
      </c>
      <c r="G93" s="27">
        <f t="shared" si="208"/>
        <v>0</v>
      </c>
      <c r="H93" s="27">
        <f t="shared" si="208"/>
        <v>0</v>
      </c>
      <c r="I93" s="27">
        <f t="shared" si="208"/>
        <v>0</v>
      </c>
      <c r="J93" s="27">
        <f t="shared" si="208"/>
        <v>0</v>
      </c>
      <c r="K93" s="27">
        <f t="shared" si="208"/>
        <v>0</v>
      </c>
      <c r="L93" s="27">
        <f t="shared" si="208"/>
        <v>0</v>
      </c>
      <c r="M93" s="27">
        <f t="shared" si="208"/>
        <v>0</v>
      </c>
      <c r="N93" s="27">
        <f t="shared" si="208"/>
        <v>0</v>
      </c>
      <c r="O93" s="27">
        <f t="shared" si="208"/>
        <v>0</v>
      </c>
      <c r="P93" s="27">
        <f t="shared" si="208"/>
        <v>0</v>
      </c>
      <c r="Q93" s="27">
        <f t="shared" si="208"/>
        <v>0</v>
      </c>
      <c r="R93" s="27">
        <f t="shared" si="208"/>
        <v>0</v>
      </c>
      <c r="S93" s="27">
        <f t="shared" si="208"/>
        <v>0</v>
      </c>
      <c r="T93" s="27">
        <f t="shared" si="208"/>
        <v>0</v>
      </c>
      <c r="U93" s="27">
        <f t="shared" si="208"/>
        <v>0</v>
      </c>
      <c r="V93" s="27">
        <f t="shared" si="208"/>
        <v>0</v>
      </c>
      <c r="W93" s="27">
        <f t="shared" si="208"/>
        <v>0</v>
      </c>
      <c r="X93" s="27">
        <f t="shared" si="208"/>
        <v>0</v>
      </c>
      <c r="Y93" s="27">
        <f t="shared" si="208"/>
        <v>0</v>
      </c>
      <c r="Z93" s="27">
        <f t="shared" si="208"/>
        <v>0</v>
      </c>
      <c r="AA93" s="27">
        <f t="shared" si="208"/>
        <v>0</v>
      </c>
      <c r="AB93" s="27">
        <f t="shared" si="208"/>
        <v>0</v>
      </c>
      <c r="AC93" s="27">
        <f t="shared" si="208"/>
        <v>0</v>
      </c>
      <c r="AD93" s="27">
        <f t="shared" si="208"/>
        <v>0</v>
      </c>
      <c r="AE93" s="27">
        <f t="shared" si="208"/>
        <v>0</v>
      </c>
      <c r="AF93" s="27">
        <f t="shared" si="208"/>
        <v>0</v>
      </c>
      <c r="AG93" s="27">
        <f t="shared" si="208"/>
        <v>0</v>
      </c>
      <c r="AH93" s="27">
        <f t="shared" si="208"/>
        <v>0</v>
      </c>
      <c r="AI93" s="27">
        <f t="shared" si="208"/>
        <v>0</v>
      </c>
      <c r="AJ93" s="27">
        <f t="shared" si="208"/>
        <v>0</v>
      </c>
      <c r="AK93" s="27">
        <f t="shared" si="208"/>
        <v>0</v>
      </c>
      <c r="AL93" s="27">
        <f t="shared" si="208"/>
        <v>0</v>
      </c>
      <c r="AM93" s="27">
        <f t="shared" si="208"/>
        <v>0</v>
      </c>
      <c r="AN93" s="27">
        <f t="shared" si="208"/>
        <v>0</v>
      </c>
      <c r="AO93" s="27">
        <f t="shared" si="208"/>
        <v>0</v>
      </c>
      <c r="AP93" s="27">
        <f t="shared" si="208"/>
        <v>0</v>
      </c>
      <c r="AQ93" s="27"/>
      <c r="AR93" s="27">
        <f t="shared" si="208"/>
        <v>0</v>
      </c>
      <c r="AS93" s="27">
        <f t="shared" si="208"/>
        <v>0</v>
      </c>
      <c r="AT93" s="27">
        <f t="shared" si="208"/>
        <v>0</v>
      </c>
      <c r="AU93" s="27"/>
      <c r="AV93" s="27"/>
      <c r="AW93" s="27">
        <f t="shared" si="208"/>
        <v>0</v>
      </c>
      <c r="AX93" s="27">
        <f t="shared" si="208"/>
        <v>0</v>
      </c>
      <c r="AY93" s="27">
        <f t="shared" si="208"/>
        <v>0</v>
      </c>
      <c r="AZ93" s="27"/>
      <c r="BA93" s="27">
        <f t="shared" si="208"/>
        <v>0</v>
      </c>
      <c r="BB93" s="27">
        <f t="shared" si="208"/>
        <v>225972499</v>
      </c>
      <c r="BC93" s="27">
        <f t="shared" si="208"/>
        <v>225972499</v>
      </c>
      <c r="BD93" s="27">
        <f t="shared" si="208"/>
        <v>225972499</v>
      </c>
      <c r="BE93" s="27">
        <f t="shared" si="208"/>
        <v>0</v>
      </c>
      <c r="BF93" s="27">
        <f t="shared" si="208"/>
        <v>0</v>
      </c>
      <c r="BG93" s="27">
        <f t="shared" si="208"/>
        <v>0</v>
      </c>
      <c r="BH93" s="27">
        <f t="shared" si="208"/>
        <v>0</v>
      </c>
      <c r="BI93" s="27">
        <f t="shared" si="208"/>
        <v>0</v>
      </c>
      <c r="BJ93" s="27">
        <f t="shared" si="208"/>
        <v>0</v>
      </c>
      <c r="BK93" s="27">
        <f t="shared" si="208"/>
        <v>0</v>
      </c>
      <c r="BL93" s="27">
        <f t="shared" si="208"/>
        <v>0</v>
      </c>
      <c r="BM93" s="27">
        <f t="shared" si="208"/>
        <v>0</v>
      </c>
      <c r="BN93" s="27">
        <f t="shared" si="208"/>
        <v>0</v>
      </c>
      <c r="BO93" s="27">
        <f t="shared" si="208"/>
        <v>0</v>
      </c>
      <c r="BP93" s="27">
        <f t="shared" si="208"/>
        <v>0</v>
      </c>
      <c r="BQ93" s="27">
        <f t="shared" si="208"/>
        <v>0</v>
      </c>
      <c r="BR93" s="27">
        <f t="shared" si="208"/>
        <v>0</v>
      </c>
      <c r="BS93" s="27">
        <f t="shared" si="208"/>
        <v>0</v>
      </c>
      <c r="BT93" s="27">
        <f t="shared" si="208"/>
        <v>0</v>
      </c>
      <c r="BU93" s="27">
        <f t="shared" si="208"/>
        <v>0</v>
      </c>
      <c r="BV93" s="27">
        <f t="shared" ref="BV93:DA94" si="209">SUM(BV94)</f>
        <v>0</v>
      </c>
      <c r="BW93" s="27">
        <f t="shared" si="209"/>
        <v>0</v>
      </c>
      <c r="BX93" s="27">
        <f t="shared" si="209"/>
        <v>0</v>
      </c>
      <c r="BY93" s="27">
        <f t="shared" si="209"/>
        <v>0</v>
      </c>
      <c r="BZ93" s="27">
        <f t="shared" si="209"/>
        <v>0</v>
      </c>
      <c r="CA93" s="27">
        <f t="shared" si="209"/>
        <v>0</v>
      </c>
      <c r="CB93" s="27">
        <f t="shared" si="209"/>
        <v>0</v>
      </c>
      <c r="CC93" s="27">
        <f t="shared" si="209"/>
        <v>0</v>
      </c>
      <c r="CD93" s="27">
        <f t="shared" si="209"/>
        <v>0</v>
      </c>
      <c r="CE93" s="27">
        <f t="shared" si="209"/>
        <v>0</v>
      </c>
      <c r="CF93" s="27">
        <f t="shared" si="209"/>
        <v>0</v>
      </c>
      <c r="CG93" s="27">
        <f t="shared" si="209"/>
        <v>0</v>
      </c>
      <c r="CH93" s="27">
        <f t="shared" si="209"/>
        <v>0</v>
      </c>
      <c r="CI93" s="27">
        <f t="shared" si="209"/>
        <v>0</v>
      </c>
      <c r="CJ93" s="27">
        <f t="shared" si="209"/>
        <v>0</v>
      </c>
      <c r="CK93" s="27">
        <f t="shared" si="209"/>
        <v>0</v>
      </c>
      <c r="CL93" s="27">
        <f t="shared" si="209"/>
        <v>0</v>
      </c>
      <c r="CM93" s="27">
        <f t="shared" si="209"/>
        <v>0</v>
      </c>
      <c r="CN93" s="27">
        <f t="shared" si="209"/>
        <v>0</v>
      </c>
      <c r="CO93" s="27">
        <f t="shared" si="209"/>
        <v>0</v>
      </c>
      <c r="CP93" s="27"/>
      <c r="CQ93" s="27"/>
      <c r="CR93" s="27"/>
      <c r="CS93" s="27"/>
      <c r="CT93" s="27">
        <f t="shared" si="209"/>
        <v>0</v>
      </c>
      <c r="CU93" s="27"/>
      <c r="CV93" s="27"/>
      <c r="CW93" s="27"/>
      <c r="CX93" s="27">
        <f t="shared" si="209"/>
        <v>0</v>
      </c>
      <c r="CY93" s="27">
        <f t="shared" si="209"/>
        <v>0</v>
      </c>
      <c r="CZ93" s="27">
        <f t="shared" si="209"/>
        <v>0</v>
      </c>
      <c r="DA93" s="55">
        <f t="shared" si="209"/>
        <v>0</v>
      </c>
    </row>
    <row r="94" spans="1:106" s="85" customFormat="1" ht="31.5" x14ac:dyDescent="0.25">
      <c r="A94" s="71" t="s">
        <v>191</v>
      </c>
      <c r="B94" s="16" t="s">
        <v>1</v>
      </c>
      <c r="C94" s="17" t="s">
        <v>546</v>
      </c>
      <c r="D94" s="18">
        <f>SUM(D95)</f>
        <v>225972499</v>
      </c>
      <c r="E94" s="18">
        <f t="shared" si="208"/>
        <v>225972499</v>
      </c>
      <c r="F94" s="18">
        <f t="shared" si="208"/>
        <v>0</v>
      </c>
      <c r="G94" s="18">
        <f t="shared" si="208"/>
        <v>0</v>
      </c>
      <c r="H94" s="18">
        <f t="shared" si="208"/>
        <v>0</v>
      </c>
      <c r="I94" s="18">
        <f t="shared" si="208"/>
        <v>0</v>
      </c>
      <c r="J94" s="18">
        <f t="shared" si="208"/>
        <v>0</v>
      </c>
      <c r="K94" s="18">
        <f t="shared" si="208"/>
        <v>0</v>
      </c>
      <c r="L94" s="18">
        <f t="shared" si="208"/>
        <v>0</v>
      </c>
      <c r="M94" s="18">
        <f t="shared" si="208"/>
        <v>0</v>
      </c>
      <c r="N94" s="18">
        <f t="shared" si="208"/>
        <v>0</v>
      </c>
      <c r="O94" s="18">
        <f t="shared" si="208"/>
        <v>0</v>
      </c>
      <c r="P94" s="18">
        <f t="shared" si="208"/>
        <v>0</v>
      </c>
      <c r="Q94" s="18">
        <f t="shared" si="208"/>
        <v>0</v>
      </c>
      <c r="R94" s="18">
        <f t="shared" si="208"/>
        <v>0</v>
      </c>
      <c r="S94" s="18">
        <f t="shared" si="208"/>
        <v>0</v>
      </c>
      <c r="T94" s="18">
        <f t="shared" si="208"/>
        <v>0</v>
      </c>
      <c r="U94" s="18">
        <f t="shared" si="208"/>
        <v>0</v>
      </c>
      <c r="V94" s="18">
        <f t="shared" si="208"/>
        <v>0</v>
      </c>
      <c r="W94" s="18">
        <f t="shared" si="208"/>
        <v>0</v>
      </c>
      <c r="X94" s="18">
        <f t="shared" si="208"/>
        <v>0</v>
      </c>
      <c r="Y94" s="18">
        <f t="shared" si="208"/>
        <v>0</v>
      </c>
      <c r="Z94" s="18">
        <f t="shared" si="208"/>
        <v>0</v>
      </c>
      <c r="AA94" s="18">
        <f t="shared" si="208"/>
        <v>0</v>
      </c>
      <c r="AB94" s="18">
        <f t="shared" si="208"/>
        <v>0</v>
      </c>
      <c r="AC94" s="18">
        <f t="shared" si="208"/>
        <v>0</v>
      </c>
      <c r="AD94" s="18">
        <f t="shared" si="208"/>
        <v>0</v>
      </c>
      <c r="AE94" s="18">
        <f t="shared" si="208"/>
        <v>0</v>
      </c>
      <c r="AF94" s="18">
        <f t="shared" si="208"/>
        <v>0</v>
      </c>
      <c r="AG94" s="18">
        <f t="shared" si="208"/>
        <v>0</v>
      </c>
      <c r="AH94" s="18">
        <f t="shared" si="208"/>
        <v>0</v>
      </c>
      <c r="AI94" s="18">
        <f t="shared" si="208"/>
        <v>0</v>
      </c>
      <c r="AJ94" s="18">
        <f t="shared" si="208"/>
        <v>0</v>
      </c>
      <c r="AK94" s="18">
        <f t="shared" si="208"/>
        <v>0</v>
      </c>
      <c r="AL94" s="18">
        <f t="shared" si="208"/>
        <v>0</v>
      </c>
      <c r="AM94" s="18">
        <f t="shared" si="208"/>
        <v>0</v>
      </c>
      <c r="AN94" s="18">
        <f t="shared" si="208"/>
        <v>0</v>
      </c>
      <c r="AO94" s="18">
        <f t="shared" si="208"/>
        <v>0</v>
      </c>
      <c r="AP94" s="18">
        <f t="shared" si="208"/>
        <v>0</v>
      </c>
      <c r="AQ94" s="18"/>
      <c r="AR94" s="18">
        <f t="shared" si="208"/>
        <v>0</v>
      </c>
      <c r="AS94" s="18">
        <f t="shared" si="208"/>
        <v>0</v>
      </c>
      <c r="AT94" s="18">
        <f t="shared" si="208"/>
        <v>0</v>
      </c>
      <c r="AU94" s="18"/>
      <c r="AV94" s="18"/>
      <c r="AW94" s="18">
        <f t="shared" si="208"/>
        <v>0</v>
      </c>
      <c r="AX94" s="18">
        <f t="shared" si="208"/>
        <v>0</v>
      </c>
      <c r="AY94" s="18">
        <f t="shared" si="208"/>
        <v>0</v>
      </c>
      <c r="AZ94" s="18"/>
      <c r="BA94" s="18">
        <f t="shared" si="208"/>
        <v>0</v>
      </c>
      <c r="BB94" s="18">
        <f t="shared" si="208"/>
        <v>225972499</v>
      </c>
      <c r="BC94" s="18">
        <f t="shared" si="208"/>
        <v>225972499</v>
      </c>
      <c r="BD94" s="18">
        <f t="shared" si="208"/>
        <v>225972499</v>
      </c>
      <c r="BE94" s="18">
        <f t="shared" si="208"/>
        <v>0</v>
      </c>
      <c r="BF94" s="18">
        <f t="shared" si="208"/>
        <v>0</v>
      </c>
      <c r="BG94" s="18">
        <f t="shared" si="208"/>
        <v>0</v>
      </c>
      <c r="BH94" s="18">
        <f t="shared" si="208"/>
        <v>0</v>
      </c>
      <c r="BI94" s="18">
        <f t="shared" si="208"/>
        <v>0</v>
      </c>
      <c r="BJ94" s="18">
        <f t="shared" si="208"/>
        <v>0</v>
      </c>
      <c r="BK94" s="18">
        <f t="shared" si="208"/>
        <v>0</v>
      </c>
      <c r="BL94" s="18">
        <f t="shared" si="208"/>
        <v>0</v>
      </c>
      <c r="BM94" s="18">
        <f t="shared" si="208"/>
        <v>0</v>
      </c>
      <c r="BN94" s="18">
        <f t="shared" si="208"/>
        <v>0</v>
      </c>
      <c r="BO94" s="18">
        <f t="shared" si="208"/>
        <v>0</v>
      </c>
      <c r="BP94" s="18">
        <f t="shared" si="208"/>
        <v>0</v>
      </c>
      <c r="BQ94" s="18">
        <f t="shared" si="208"/>
        <v>0</v>
      </c>
      <c r="BR94" s="18">
        <f t="shared" si="208"/>
        <v>0</v>
      </c>
      <c r="BS94" s="18">
        <f t="shared" si="208"/>
        <v>0</v>
      </c>
      <c r="BT94" s="18">
        <f t="shared" si="208"/>
        <v>0</v>
      </c>
      <c r="BU94" s="18">
        <f t="shared" si="208"/>
        <v>0</v>
      </c>
      <c r="BV94" s="18">
        <f t="shared" si="209"/>
        <v>0</v>
      </c>
      <c r="BW94" s="18">
        <f t="shared" si="209"/>
        <v>0</v>
      </c>
      <c r="BX94" s="18">
        <f t="shared" si="209"/>
        <v>0</v>
      </c>
      <c r="BY94" s="18">
        <f t="shared" si="209"/>
        <v>0</v>
      </c>
      <c r="BZ94" s="18">
        <f t="shared" si="209"/>
        <v>0</v>
      </c>
      <c r="CA94" s="18">
        <f t="shared" si="209"/>
        <v>0</v>
      </c>
      <c r="CB94" s="18">
        <f t="shared" si="209"/>
        <v>0</v>
      </c>
      <c r="CC94" s="18">
        <f t="shared" si="209"/>
        <v>0</v>
      </c>
      <c r="CD94" s="18">
        <f t="shared" si="209"/>
        <v>0</v>
      </c>
      <c r="CE94" s="18">
        <f t="shared" si="209"/>
        <v>0</v>
      </c>
      <c r="CF94" s="18">
        <f t="shared" si="209"/>
        <v>0</v>
      </c>
      <c r="CG94" s="18">
        <f t="shared" si="209"/>
        <v>0</v>
      </c>
      <c r="CH94" s="18">
        <f t="shared" si="209"/>
        <v>0</v>
      </c>
      <c r="CI94" s="18">
        <f t="shared" si="209"/>
        <v>0</v>
      </c>
      <c r="CJ94" s="18">
        <f t="shared" si="209"/>
        <v>0</v>
      </c>
      <c r="CK94" s="18">
        <f t="shared" si="209"/>
        <v>0</v>
      </c>
      <c r="CL94" s="18">
        <f t="shared" si="209"/>
        <v>0</v>
      </c>
      <c r="CM94" s="18">
        <f t="shared" si="209"/>
        <v>0</v>
      </c>
      <c r="CN94" s="18">
        <f t="shared" si="209"/>
        <v>0</v>
      </c>
      <c r="CO94" s="18">
        <f t="shared" si="209"/>
        <v>0</v>
      </c>
      <c r="CP94" s="18"/>
      <c r="CQ94" s="18"/>
      <c r="CR94" s="18"/>
      <c r="CS94" s="18"/>
      <c r="CT94" s="18">
        <f t="shared" si="209"/>
        <v>0</v>
      </c>
      <c r="CU94" s="18"/>
      <c r="CV94" s="18"/>
      <c r="CW94" s="18"/>
      <c r="CX94" s="18">
        <f t="shared" si="209"/>
        <v>0</v>
      </c>
      <c r="CY94" s="18">
        <f t="shared" si="209"/>
        <v>0</v>
      </c>
      <c r="CZ94" s="18">
        <f t="shared" si="209"/>
        <v>0</v>
      </c>
      <c r="DA94" s="46">
        <f t="shared" si="209"/>
        <v>0</v>
      </c>
    </row>
    <row r="95" spans="1:106" s="84" customFormat="1" ht="15.75" x14ac:dyDescent="0.25">
      <c r="A95" s="72" t="s">
        <v>1</v>
      </c>
      <c r="B95" s="21" t="s">
        <v>80</v>
      </c>
      <c r="C95" s="22" t="s">
        <v>192</v>
      </c>
      <c r="D95" s="18">
        <f>SUM(E95+CA95+CX95)</f>
        <v>225972499</v>
      </c>
      <c r="E95" s="19">
        <f>SUM(F95+BB95)</f>
        <v>225972499</v>
      </c>
      <c r="F95" s="19">
        <f>SUM(G95+H95+I95+P95+S95+T95+U95+AE95)</f>
        <v>0</v>
      </c>
      <c r="G95" s="19">
        <v>0</v>
      </c>
      <c r="H95" s="19">
        <v>0</v>
      </c>
      <c r="I95" s="19">
        <f t="shared" si="120"/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f t="shared" si="121"/>
        <v>0</v>
      </c>
      <c r="Q95" s="19">
        <v>0</v>
      </c>
      <c r="R95" s="19">
        <v>0</v>
      </c>
      <c r="S95" s="19">
        <v>0</v>
      </c>
      <c r="T95" s="19">
        <v>0</v>
      </c>
      <c r="U95" s="19">
        <f>SUM(V95:AC95)</f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f>SUM(AF95:BA95)</f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0</v>
      </c>
      <c r="AO95" s="19">
        <v>0</v>
      </c>
      <c r="AP95" s="19">
        <v>0</v>
      </c>
      <c r="AQ95" s="19"/>
      <c r="AR95" s="19">
        <v>0</v>
      </c>
      <c r="AS95" s="19">
        <v>0</v>
      </c>
      <c r="AT95" s="19">
        <v>0</v>
      </c>
      <c r="AU95" s="19"/>
      <c r="AV95" s="19"/>
      <c r="AW95" s="19">
        <v>0</v>
      </c>
      <c r="AX95" s="19">
        <v>0</v>
      </c>
      <c r="AY95" s="19">
        <v>0</v>
      </c>
      <c r="AZ95" s="19"/>
      <c r="BA95" s="19">
        <v>0</v>
      </c>
      <c r="BB95" s="19">
        <f>SUM(BC95+BG95+BJ95+BL95+BO95)</f>
        <v>225972499</v>
      </c>
      <c r="BC95" s="19">
        <f>SUM(BD95:BF95)</f>
        <v>225972499</v>
      </c>
      <c r="BD95" s="19">
        <f>222891347-1126383+4207535</f>
        <v>225972499</v>
      </c>
      <c r="BE95" s="19">
        <v>0</v>
      </c>
      <c r="BF95" s="19">
        <v>0</v>
      </c>
      <c r="BG95" s="19">
        <f>SUM(BI95:BI95)</f>
        <v>0</v>
      </c>
      <c r="BH95" s="19">
        <v>0</v>
      </c>
      <c r="BI95" s="19">
        <v>0</v>
      </c>
      <c r="BJ95" s="19">
        <v>0</v>
      </c>
      <c r="BK95" s="19">
        <v>0</v>
      </c>
      <c r="BL95" s="19">
        <f t="shared" si="122"/>
        <v>0</v>
      </c>
      <c r="BM95" s="19">
        <v>0</v>
      </c>
      <c r="BN95" s="19">
        <v>0</v>
      </c>
      <c r="BO95" s="19">
        <f>SUM(BP95:BZ95)</f>
        <v>0</v>
      </c>
      <c r="BP95" s="19">
        <v>0</v>
      </c>
      <c r="BQ95" s="19">
        <v>0</v>
      </c>
      <c r="BR95" s="19">
        <v>0</v>
      </c>
      <c r="BS95" s="19">
        <v>0</v>
      </c>
      <c r="BT95" s="19">
        <v>0</v>
      </c>
      <c r="BU95" s="19">
        <v>0</v>
      </c>
      <c r="BV95" s="19">
        <v>0</v>
      </c>
      <c r="BW95" s="19">
        <v>0</v>
      </c>
      <c r="BX95" s="19">
        <v>0</v>
      </c>
      <c r="BY95" s="19">
        <v>0</v>
      </c>
      <c r="BZ95" s="19">
        <v>0</v>
      </c>
      <c r="CA95" s="19">
        <f>SUM(CB95+CT95)</f>
        <v>0</v>
      </c>
      <c r="CB95" s="19">
        <f>SUM(CC95+CF95+CL95)</f>
        <v>0</v>
      </c>
      <c r="CC95" s="19">
        <f t="shared" si="123"/>
        <v>0</v>
      </c>
      <c r="CD95" s="19">
        <v>0</v>
      </c>
      <c r="CE95" s="19">
        <v>0</v>
      </c>
      <c r="CF95" s="19">
        <f>SUM(CG95:CK95)</f>
        <v>0</v>
      </c>
      <c r="CG95" s="19">
        <v>0</v>
      </c>
      <c r="CH95" s="19">
        <v>0</v>
      </c>
      <c r="CI95" s="19">
        <v>0</v>
      </c>
      <c r="CJ95" s="19">
        <v>0</v>
      </c>
      <c r="CK95" s="19">
        <v>0</v>
      </c>
      <c r="CL95" s="19">
        <f>SUM(CM95:CQ95)</f>
        <v>0</v>
      </c>
      <c r="CM95" s="19">
        <v>0</v>
      </c>
      <c r="CN95" s="19">
        <v>0</v>
      </c>
      <c r="CO95" s="19">
        <v>0</v>
      </c>
      <c r="CP95" s="19"/>
      <c r="CQ95" s="19"/>
      <c r="CR95" s="19"/>
      <c r="CS95" s="19"/>
      <c r="CT95" s="19">
        <v>0</v>
      </c>
      <c r="CU95" s="19"/>
      <c r="CV95" s="19"/>
      <c r="CW95" s="19"/>
      <c r="CX95" s="19">
        <f t="shared" si="124"/>
        <v>0</v>
      </c>
      <c r="CY95" s="19">
        <f t="shared" si="125"/>
        <v>0</v>
      </c>
      <c r="CZ95" s="19">
        <v>0</v>
      </c>
      <c r="DA95" s="20">
        <v>0</v>
      </c>
    </row>
    <row r="96" spans="1:106" s="86" customFormat="1" ht="15.75" x14ac:dyDescent="0.25">
      <c r="A96" s="73" t="s">
        <v>193</v>
      </c>
      <c r="B96" s="25" t="s">
        <v>1</v>
      </c>
      <c r="C96" s="26" t="s">
        <v>194</v>
      </c>
      <c r="D96" s="27">
        <f t="shared" ref="D96:AK96" si="210">SUM(D97)</f>
        <v>4957278</v>
      </c>
      <c r="E96" s="27">
        <f t="shared" si="210"/>
        <v>4957278</v>
      </c>
      <c r="F96" s="27">
        <f t="shared" si="210"/>
        <v>4957278</v>
      </c>
      <c r="G96" s="27">
        <f t="shared" si="210"/>
        <v>4024546</v>
      </c>
      <c r="H96" s="27">
        <f t="shared" si="210"/>
        <v>932732</v>
      </c>
      <c r="I96" s="27">
        <f t="shared" si="210"/>
        <v>0</v>
      </c>
      <c r="J96" s="27">
        <f t="shared" si="210"/>
        <v>0</v>
      </c>
      <c r="K96" s="27">
        <f t="shared" si="210"/>
        <v>0</v>
      </c>
      <c r="L96" s="27">
        <f t="shared" si="210"/>
        <v>0</v>
      </c>
      <c r="M96" s="27">
        <f t="shared" si="210"/>
        <v>0</v>
      </c>
      <c r="N96" s="27">
        <f t="shared" si="210"/>
        <v>0</v>
      </c>
      <c r="O96" s="27">
        <f t="shared" si="210"/>
        <v>0</v>
      </c>
      <c r="P96" s="27">
        <f t="shared" si="210"/>
        <v>0</v>
      </c>
      <c r="Q96" s="27">
        <f t="shared" si="210"/>
        <v>0</v>
      </c>
      <c r="R96" s="27">
        <f t="shared" si="210"/>
        <v>0</v>
      </c>
      <c r="S96" s="27">
        <f t="shared" si="210"/>
        <v>0</v>
      </c>
      <c r="T96" s="27">
        <f t="shared" si="210"/>
        <v>0</v>
      </c>
      <c r="U96" s="27">
        <f t="shared" si="210"/>
        <v>0</v>
      </c>
      <c r="V96" s="27">
        <f t="shared" si="210"/>
        <v>0</v>
      </c>
      <c r="W96" s="27">
        <f t="shared" si="210"/>
        <v>0</v>
      </c>
      <c r="X96" s="27">
        <f t="shared" si="210"/>
        <v>0</v>
      </c>
      <c r="Y96" s="27">
        <f t="shared" si="210"/>
        <v>0</v>
      </c>
      <c r="Z96" s="27">
        <f t="shared" si="210"/>
        <v>0</v>
      </c>
      <c r="AA96" s="27">
        <f t="shared" si="210"/>
        <v>0</v>
      </c>
      <c r="AB96" s="27">
        <f t="shared" si="210"/>
        <v>0</v>
      </c>
      <c r="AC96" s="27">
        <f t="shared" si="210"/>
        <v>0</v>
      </c>
      <c r="AD96" s="27">
        <f t="shared" si="210"/>
        <v>0</v>
      </c>
      <c r="AE96" s="27">
        <f t="shared" si="210"/>
        <v>0</v>
      </c>
      <c r="AF96" s="27">
        <f t="shared" si="210"/>
        <v>0</v>
      </c>
      <c r="AG96" s="27">
        <f t="shared" si="210"/>
        <v>0</v>
      </c>
      <c r="AH96" s="27">
        <f t="shared" si="210"/>
        <v>0</v>
      </c>
      <c r="AI96" s="27">
        <f t="shared" si="210"/>
        <v>0</v>
      </c>
      <c r="AJ96" s="27">
        <f t="shared" si="210"/>
        <v>0</v>
      </c>
      <c r="AK96" s="27">
        <f t="shared" si="210"/>
        <v>0</v>
      </c>
      <c r="AL96" s="27">
        <f t="shared" ref="AL96:DA96" si="211">SUM(AL97)</f>
        <v>0</v>
      </c>
      <c r="AM96" s="27">
        <f t="shared" si="211"/>
        <v>0</v>
      </c>
      <c r="AN96" s="27">
        <f t="shared" si="211"/>
        <v>0</v>
      </c>
      <c r="AO96" s="27">
        <f t="shared" si="211"/>
        <v>0</v>
      </c>
      <c r="AP96" s="27">
        <f t="shared" si="211"/>
        <v>0</v>
      </c>
      <c r="AQ96" s="27"/>
      <c r="AR96" s="27">
        <f t="shared" si="211"/>
        <v>0</v>
      </c>
      <c r="AS96" s="27">
        <f t="shared" si="211"/>
        <v>0</v>
      </c>
      <c r="AT96" s="27">
        <f t="shared" si="211"/>
        <v>0</v>
      </c>
      <c r="AU96" s="27"/>
      <c r="AV96" s="27"/>
      <c r="AW96" s="27">
        <f t="shared" si="211"/>
        <v>0</v>
      </c>
      <c r="AX96" s="27">
        <f t="shared" si="211"/>
        <v>0</v>
      </c>
      <c r="AY96" s="27">
        <f t="shared" si="211"/>
        <v>0</v>
      </c>
      <c r="AZ96" s="27"/>
      <c r="BA96" s="27">
        <f t="shared" si="211"/>
        <v>0</v>
      </c>
      <c r="BB96" s="27">
        <f t="shared" si="211"/>
        <v>0</v>
      </c>
      <c r="BC96" s="27">
        <f t="shared" si="211"/>
        <v>0</v>
      </c>
      <c r="BD96" s="27">
        <f t="shared" si="211"/>
        <v>0</v>
      </c>
      <c r="BE96" s="27">
        <f t="shared" si="211"/>
        <v>0</v>
      </c>
      <c r="BF96" s="27">
        <f t="shared" si="211"/>
        <v>0</v>
      </c>
      <c r="BG96" s="27">
        <f t="shared" si="211"/>
        <v>0</v>
      </c>
      <c r="BH96" s="27">
        <f t="shared" si="211"/>
        <v>0</v>
      </c>
      <c r="BI96" s="27">
        <f t="shared" si="211"/>
        <v>0</v>
      </c>
      <c r="BJ96" s="27">
        <f t="shared" si="211"/>
        <v>0</v>
      </c>
      <c r="BK96" s="27">
        <f t="shared" si="211"/>
        <v>0</v>
      </c>
      <c r="BL96" s="27">
        <f t="shared" si="211"/>
        <v>0</v>
      </c>
      <c r="BM96" s="27">
        <f t="shared" si="211"/>
        <v>0</v>
      </c>
      <c r="BN96" s="27">
        <f t="shared" si="211"/>
        <v>0</v>
      </c>
      <c r="BO96" s="27">
        <f t="shared" si="211"/>
        <v>0</v>
      </c>
      <c r="BP96" s="27">
        <f t="shared" si="211"/>
        <v>0</v>
      </c>
      <c r="BQ96" s="27">
        <f t="shared" si="211"/>
        <v>0</v>
      </c>
      <c r="BR96" s="27">
        <f t="shared" si="211"/>
        <v>0</v>
      </c>
      <c r="BS96" s="27">
        <f t="shared" si="211"/>
        <v>0</v>
      </c>
      <c r="BT96" s="27">
        <f t="shared" si="211"/>
        <v>0</v>
      </c>
      <c r="BU96" s="27">
        <f t="shared" si="211"/>
        <v>0</v>
      </c>
      <c r="BV96" s="27">
        <f t="shared" si="211"/>
        <v>0</v>
      </c>
      <c r="BW96" s="27">
        <f t="shared" si="211"/>
        <v>0</v>
      </c>
      <c r="BX96" s="27">
        <f t="shared" si="211"/>
        <v>0</v>
      </c>
      <c r="BY96" s="27">
        <f t="shared" si="211"/>
        <v>0</v>
      </c>
      <c r="BZ96" s="27">
        <f t="shared" si="211"/>
        <v>0</v>
      </c>
      <c r="CA96" s="27">
        <f t="shared" si="211"/>
        <v>0</v>
      </c>
      <c r="CB96" s="27">
        <f t="shared" si="211"/>
        <v>0</v>
      </c>
      <c r="CC96" s="27">
        <f t="shared" si="211"/>
        <v>0</v>
      </c>
      <c r="CD96" s="27">
        <f t="shared" si="211"/>
        <v>0</v>
      </c>
      <c r="CE96" s="27">
        <f t="shared" si="211"/>
        <v>0</v>
      </c>
      <c r="CF96" s="27">
        <f t="shared" si="211"/>
        <v>0</v>
      </c>
      <c r="CG96" s="27">
        <f t="shared" si="211"/>
        <v>0</v>
      </c>
      <c r="CH96" s="27">
        <f t="shared" si="211"/>
        <v>0</v>
      </c>
      <c r="CI96" s="27">
        <f t="shared" si="211"/>
        <v>0</v>
      </c>
      <c r="CJ96" s="27">
        <f t="shared" si="211"/>
        <v>0</v>
      </c>
      <c r="CK96" s="27">
        <f t="shared" si="211"/>
        <v>0</v>
      </c>
      <c r="CL96" s="27">
        <f t="shared" si="211"/>
        <v>0</v>
      </c>
      <c r="CM96" s="27">
        <f t="shared" si="211"/>
        <v>0</v>
      </c>
      <c r="CN96" s="27">
        <f t="shared" si="211"/>
        <v>0</v>
      </c>
      <c r="CO96" s="27">
        <f t="shared" si="211"/>
        <v>0</v>
      </c>
      <c r="CP96" s="27"/>
      <c r="CQ96" s="27"/>
      <c r="CR96" s="27"/>
      <c r="CS96" s="27"/>
      <c r="CT96" s="27">
        <f t="shared" si="211"/>
        <v>0</v>
      </c>
      <c r="CU96" s="27"/>
      <c r="CV96" s="27"/>
      <c r="CW96" s="27"/>
      <c r="CX96" s="27">
        <f t="shared" si="211"/>
        <v>0</v>
      </c>
      <c r="CY96" s="27">
        <f t="shared" si="211"/>
        <v>0</v>
      </c>
      <c r="CZ96" s="27">
        <f t="shared" si="211"/>
        <v>0</v>
      </c>
      <c r="DA96" s="55">
        <f t="shared" si="211"/>
        <v>0</v>
      </c>
      <c r="DB96" s="85"/>
    </row>
    <row r="97" spans="1:106" ht="31.5" x14ac:dyDescent="0.25">
      <c r="A97" s="71" t="s">
        <v>195</v>
      </c>
      <c r="B97" s="16" t="s">
        <v>1</v>
      </c>
      <c r="C97" s="17" t="s">
        <v>547</v>
      </c>
      <c r="D97" s="18">
        <f t="shared" ref="D97:AT97" si="212">SUM(D98:D98)</f>
        <v>4957278</v>
      </c>
      <c r="E97" s="19">
        <f t="shared" si="212"/>
        <v>4957278</v>
      </c>
      <c r="F97" s="19">
        <f t="shared" si="212"/>
        <v>4957278</v>
      </c>
      <c r="G97" s="19">
        <f t="shared" si="212"/>
        <v>4024546</v>
      </c>
      <c r="H97" s="19">
        <f t="shared" si="212"/>
        <v>932732</v>
      </c>
      <c r="I97" s="19">
        <f t="shared" si="212"/>
        <v>0</v>
      </c>
      <c r="J97" s="19">
        <f t="shared" si="212"/>
        <v>0</v>
      </c>
      <c r="K97" s="19">
        <f t="shared" si="212"/>
        <v>0</v>
      </c>
      <c r="L97" s="19">
        <f t="shared" si="212"/>
        <v>0</v>
      </c>
      <c r="M97" s="19">
        <f t="shared" si="212"/>
        <v>0</v>
      </c>
      <c r="N97" s="19">
        <f t="shared" si="212"/>
        <v>0</v>
      </c>
      <c r="O97" s="19">
        <f t="shared" si="212"/>
        <v>0</v>
      </c>
      <c r="P97" s="19">
        <f t="shared" si="212"/>
        <v>0</v>
      </c>
      <c r="Q97" s="19">
        <f t="shared" si="212"/>
        <v>0</v>
      </c>
      <c r="R97" s="19">
        <f t="shared" si="212"/>
        <v>0</v>
      </c>
      <c r="S97" s="19">
        <f t="shared" si="212"/>
        <v>0</v>
      </c>
      <c r="T97" s="19">
        <f t="shared" si="212"/>
        <v>0</v>
      </c>
      <c r="U97" s="19">
        <f t="shared" si="212"/>
        <v>0</v>
      </c>
      <c r="V97" s="19">
        <f t="shared" si="212"/>
        <v>0</v>
      </c>
      <c r="W97" s="19">
        <f t="shared" si="212"/>
        <v>0</v>
      </c>
      <c r="X97" s="19">
        <f t="shared" si="212"/>
        <v>0</v>
      </c>
      <c r="Y97" s="19">
        <f t="shared" si="212"/>
        <v>0</v>
      </c>
      <c r="Z97" s="19">
        <f t="shared" si="212"/>
        <v>0</v>
      </c>
      <c r="AA97" s="19">
        <f t="shared" si="212"/>
        <v>0</v>
      </c>
      <c r="AB97" s="19">
        <f t="shared" si="212"/>
        <v>0</v>
      </c>
      <c r="AC97" s="19">
        <f t="shared" si="212"/>
        <v>0</v>
      </c>
      <c r="AD97" s="19">
        <f t="shared" si="212"/>
        <v>0</v>
      </c>
      <c r="AE97" s="19">
        <f t="shared" si="212"/>
        <v>0</v>
      </c>
      <c r="AF97" s="19">
        <f t="shared" si="212"/>
        <v>0</v>
      </c>
      <c r="AG97" s="19">
        <f t="shared" si="212"/>
        <v>0</v>
      </c>
      <c r="AH97" s="19">
        <f t="shared" si="212"/>
        <v>0</v>
      </c>
      <c r="AI97" s="19">
        <f t="shared" si="212"/>
        <v>0</v>
      </c>
      <c r="AJ97" s="19">
        <f t="shared" si="212"/>
        <v>0</v>
      </c>
      <c r="AK97" s="19">
        <f t="shared" si="212"/>
        <v>0</v>
      </c>
      <c r="AL97" s="19">
        <f t="shared" si="212"/>
        <v>0</v>
      </c>
      <c r="AM97" s="19">
        <f t="shared" si="212"/>
        <v>0</v>
      </c>
      <c r="AN97" s="19">
        <f t="shared" si="212"/>
        <v>0</v>
      </c>
      <c r="AO97" s="19">
        <f t="shared" si="212"/>
        <v>0</v>
      </c>
      <c r="AP97" s="19">
        <f t="shared" si="212"/>
        <v>0</v>
      </c>
      <c r="AQ97" s="19"/>
      <c r="AR97" s="19">
        <f t="shared" si="212"/>
        <v>0</v>
      </c>
      <c r="AS97" s="19">
        <f t="shared" si="212"/>
        <v>0</v>
      </c>
      <c r="AT97" s="19">
        <f t="shared" si="212"/>
        <v>0</v>
      </c>
      <c r="AU97" s="19"/>
      <c r="AV97" s="19"/>
      <c r="AW97" s="19">
        <f>SUM(AW98:AW98)</f>
        <v>0</v>
      </c>
      <c r="AX97" s="19">
        <f>SUM(AX98:AX98)</f>
        <v>0</v>
      </c>
      <c r="AY97" s="19">
        <f>SUM(AY98:AY98)</f>
        <v>0</v>
      </c>
      <c r="AZ97" s="19"/>
      <c r="BA97" s="19">
        <f t="shared" ref="BA97:CO97" si="213">SUM(BA98:BA98)</f>
        <v>0</v>
      </c>
      <c r="BB97" s="19">
        <f t="shared" si="213"/>
        <v>0</v>
      </c>
      <c r="BC97" s="19">
        <f t="shared" si="213"/>
        <v>0</v>
      </c>
      <c r="BD97" s="19">
        <f t="shared" si="213"/>
        <v>0</v>
      </c>
      <c r="BE97" s="19">
        <f t="shared" si="213"/>
        <v>0</v>
      </c>
      <c r="BF97" s="19">
        <f t="shared" si="213"/>
        <v>0</v>
      </c>
      <c r="BG97" s="19">
        <f t="shared" si="213"/>
        <v>0</v>
      </c>
      <c r="BH97" s="19">
        <f t="shared" si="213"/>
        <v>0</v>
      </c>
      <c r="BI97" s="19">
        <f t="shared" si="213"/>
        <v>0</v>
      </c>
      <c r="BJ97" s="19">
        <f t="shared" si="213"/>
        <v>0</v>
      </c>
      <c r="BK97" s="19">
        <f t="shared" si="213"/>
        <v>0</v>
      </c>
      <c r="BL97" s="19">
        <f t="shared" si="213"/>
        <v>0</v>
      </c>
      <c r="BM97" s="19">
        <f t="shared" si="213"/>
        <v>0</v>
      </c>
      <c r="BN97" s="19">
        <f t="shared" si="213"/>
        <v>0</v>
      </c>
      <c r="BO97" s="19">
        <f t="shared" si="213"/>
        <v>0</v>
      </c>
      <c r="BP97" s="19">
        <f t="shared" si="213"/>
        <v>0</v>
      </c>
      <c r="BQ97" s="19">
        <f t="shared" si="213"/>
        <v>0</v>
      </c>
      <c r="BR97" s="19">
        <f t="shared" si="213"/>
        <v>0</v>
      </c>
      <c r="BS97" s="19">
        <f t="shared" si="213"/>
        <v>0</v>
      </c>
      <c r="BT97" s="19">
        <f t="shared" si="213"/>
        <v>0</v>
      </c>
      <c r="BU97" s="19">
        <f t="shared" si="213"/>
        <v>0</v>
      </c>
      <c r="BV97" s="19">
        <f t="shared" si="213"/>
        <v>0</v>
      </c>
      <c r="BW97" s="19">
        <f t="shared" si="213"/>
        <v>0</v>
      </c>
      <c r="BX97" s="19">
        <f t="shared" si="213"/>
        <v>0</v>
      </c>
      <c r="BY97" s="19">
        <f t="shared" si="213"/>
        <v>0</v>
      </c>
      <c r="BZ97" s="19">
        <f t="shared" si="213"/>
        <v>0</v>
      </c>
      <c r="CA97" s="19">
        <f t="shared" si="213"/>
        <v>0</v>
      </c>
      <c r="CB97" s="19">
        <f t="shared" si="213"/>
        <v>0</v>
      </c>
      <c r="CC97" s="19">
        <f t="shared" si="213"/>
        <v>0</v>
      </c>
      <c r="CD97" s="19">
        <f t="shared" si="213"/>
        <v>0</v>
      </c>
      <c r="CE97" s="19">
        <f t="shared" si="213"/>
        <v>0</v>
      </c>
      <c r="CF97" s="19">
        <f t="shared" si="213"/>
        <v>0</v>
      </c>
      <c r="CG97" s="19">
        <f t="shared" si="213"/>
        <v>0</v>
      </c>
      <c r="CH97" s="19">
        <f t="shared" si="213"/>
        <v>0</v>
      </c>
      <c r="CI97" s="19">
        <f t="shared" si="213"/>
        <v>0</v>
      </c>
      <c r="CJ97" s="19">
        <f t="shared" si="213"/>
        <v>0</v>
      </c>
      <c r="CK97" s="19">
        <f t="shared" si="213"/>
        <v>0</v>
      </c>
      <c r="CL97" s="19">
        <f t="shared" si="213"/>
        <v>0</v>
      </c>
      <c r="CM97" s="19">
        <f t="shared" si="213"/>
        <v>0</v>
      </c>
      <c r="CN97" s="19">
        <f t="shared" si="213"/>
        <v>0</v>
      </c>
      <c r="CO97" s="19">
        <f t="shared" si="213"/>
        <v>0</v>
      </c>
      <c r="CP97" s="19"/>
      <c r="CQ97" s="19"/>
      <c r="CR97" s="19"/>
      <c r="CS97" s="19"/>
      <c r="CT97" s="19">
        <f t="shared" ref="CT97:DA97" si="214">SUM(CT98:CT98)</f>
        <v>0</v>
      </c>
      <c r="CU97" s="19"/>
      <c r="CV97" s="19"/>
      <c r="CW97" s="19"/>
      <c r="CX97" s="19">
        <f t="shared" si="214"/>
        <v>0</v>
      </c>
      <c r="CY97" s="19">
        <f t="shared" si="214"/>
        <v>0</v>
      </c>
      <c r="CZ97" s="19">
        <f t="shared" si="214"/>
        <v>0</v>
      </c>
      <c r="DA97" s="20">
        <f t="shared" si="214"/>
        <v>0</v>
      </c>
    </row>
    <row r="98" spans="1:106" ht="15.75" x14ac:dyDescent="0.25">
      <c r="A98" s="72" t="s">
        <v>1</v>
      </c>
      <c r="B98" s="21" t="s">
        <v>92</v>
      </c>
      <c r="C98" s="22" t="s">
        <v>548</v>
      </c>
      <c r="D98" s="18">
        <f>SUM(E98+CA98+CX98)</f>
        <v>4957278</v>
      </c>
      <c r="E98" s="19">
        <f>SUM(F98+BB98)</f>
        <v>4957278</v>
      </c>
      <c r="F98" s="19">
        <f>SUM(G98+H98+I98+P98+S98+T98+U98+AE98)</f>
        <v>4957278</v>
      </c>
      <c r="G98" s="23">
        <f>4333184-308638</f>
        <v>4024546</v>
      </c>
      <c r="H98" s="23">
        <f>1009891-77159</f>
        <v>932732</v>
      </c>
      <c r="I98" s="19">
        <f t="shared" si="120"/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f t="shared" si="121"/>
        <v>0</v>
      </c>
      <c r="Q98" s="19">
        <v>0</v>
      </c>
      <c r="R98" s="19">
        <v>0</v>
      </c>
      <c r="S98" s="19">
        <v>0</v>
      </c>
      <c r="T98" s="19"/>
      <c r="U98" s="19">
        <f t="shared" ref="U98" si="215">SUM(V98:AC98)</f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f>SUM(AF98:BA98)</f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/>
      <c r="AR98" s="19">
        <v>0</v>
      </c>
      <c r="AS98" s="19">
        <v>0</v>
      </c>
      <c r="AT98" s="19">
        <v>0</v>
      </c>
      <c r="AU98" s="19"/>
      <c r="AV98" s="19"/>
      <c r="AW98" s="19">
        <v>0</v>
      </c>
      <c r="AX98" s="19">
        <v>0</v>
      </c>
      <c r="AY98" s="19">
        <v>0</v>
      </c>
      <c r="AZ98" s="19"/>
      <c r="BA98" s="19">
        <v>0</v>
      </c>
      <c r="BB98" s="19">
        <f>SUM(BC98+BG98+BJ98+BL98+BO98)</f>
        <v>0</v>
      </c>
      <c r="BC98" s="19">
        <f>SUM(BD98:BF98)</f>
        <v>0</v>
      </c>
      <c r="BD98" s="19">
        <v>0</v>
      </c>
      <c r="BE98" s="19">
        <v>0</v>
      </c>
      <c r="BF98" s="19">
        <v>0</v>
      </c>
      <c r="BG98" s="19">
        <f>SUM(BI98:BI98)</f>
        <v>0</v>
      </c>
      <c r="BH98" s="19">
        <v>0</v>
      </c>
      <c r="BI98" s="19">
        <v>0</v>
      </c>
      <c r="BJ98" s="19">
        <v>0</v>
      </c>
      <c r="BK98" s="19">
        <v>0</v>
      </c>
      <c r="BL98" s="19">
        <f t="shared" si="122"/>
        <v>0</v>
      </c>
      <c r="BM98" s="19">
        <v>0</v>
      </c>
      <c r="BN98" s="19">
        <v>0</v>
      </c>
      <c r="BO98" s="19">
        <f>SUM(BP98:BZ98)</f>
        <v>0</v>
      </c>
      <c r="BP98" s="19">
        <v>0</v>
      </c>
      <c r="BQ98" s="19">
        <v>0</v>
      </c>
      <c r="BR98" s="19">
        <v>0</v>
      </c>
      <c r="BS98" s="19">
        <v>0</v>
      </c>
      <c r="BT98" s="19">
        <v>0</v>
      </c>
      <c r="BU98" s="19">
        <v>0</v>
      </c>
      <c r="BV98" s="19">
        <v>0</v>
      </c>
      <c r="BW98" s="19">
        <v>0</v>
      </c>
      <c r="BX98" s="19">
        <v>0</v>
      </c>
      <c r="BY98" s="19">
        <v>0</v>
      </c>
      <c r="BZ98" s="19">
        <v>0</v>
      </c>
      <c r="CA98" s="19">
        <f>SUM(CB98+CT98)</f>
        <v>0</v>
      </c>
      <c r="CB98" s="19">
        <f>SUM(CC98+CF98+CL98)</f>
        <v>0</v>
      </c>
      <c r="CC98" s="19">
        <f t="shared" si="123"/>
        <v>0</v>
      </c>
      <c r="CD98" s="19">
        <v>0</v>
      </c>
      <c r="CE98" s="19">
        <v>0</v>
      </c>
      <c r="CF98" s="19">
        <f>SUM(CG98:CK98)</f>
        <v>0</v>
      </c>
      <c r="CG98" s="19">
        <v>0</v>
      </c>
      <c r="CH98" s="19">
        <v>0</v>
      </c>
      <c r="CI98" s="19">
        <v>0</v>
      </c>
      <c r="CJ98" s="19">
        <v>0</v>
      </c>
      <c r="CK98" s="19">
        <v>0</v>
      </c>
      <c r="CL98" s="19">
        <f>SUM(CM98:CQ98)</f>
        <v>0</v>
      </c>
      <c r="CM98" s="19">
        <v>0</v>
      </c>
      <c r="CN98" s="19">
        <v>0</v>
      </c>
      <c r="CO98" s="19">
        <v>0</v>
      </c>
      <c r="CP98" s="19"/>
      <c r="CQ98" s="19"/>
      <c r="CR98" s="19"/>
      <c r="CS98" s="19"/>
      <c r="CT98" s="19">
        <v>0</v>
      </c>
      <c r="CU98" s="19"/>
      <c r="CV98" s="19"/>
      <c r="CW98" s="19"/>
      <c r="CX98" s="19">
        <f t="shared" si="124"/>
        <v>0</v>
      </c>
      <c r="CY98" s="19">
        <f t="shared" si="125"/>
        <v>0</v>
      </c>
      <c r="CZ98" s="19">
        <v>0</v>
      </c>
      <c r="DA98" s="20">
        <v>0</v>
      </c>
    </row>
    <row r="99" spans="1:106" s="86" customFormat="1" ht="47.25" x14ac:dyDescent="0.25">
      <c r="A99" s="73" t="s">
        <v>196</v>
      </c>
      <c r="B99" s="25" t="s">
        <v>1</v>
      </c>
      <c r="C99" s="26" t="s">
        <v>197</v>
      </c>
      <c r="D99" s="27">
        <f>SUM(D100+D102+D104)</f>
        <v>20505880</v>
      </c>
      <c r="E99" s="27">
        <f t="shared" ref="E99:BR99" si="216">SUM(E100+E102+E104)</f>
        <v>20120083</v>
      </c>
      <c r="F99" s="27">
        <f t="shared" si="216"/>
        <v>20120083</v>
      </c>
      <c r="G99" s="27">
        <f t="shared" si="216"/>
        <v>3891282</v>
      </c>
      <c r="H99" s="27">
        <f t="shared" si="216"/>
        <v>967704</v>
      </c>
      <c r="I99" s="27">
        <f t="shared" si="216"/>
        <v>31347</v>
      </c>
      <c r="J99" s="27">
        <f t="shared" si="216"/>
        <v>0</v>
      </c>
      <c r="K99" s="27">
        <f t="shared" si="216"/>
        <v>0</v>
      </c>
      <c r="L99" s="27">
        <f t="shared" si="216"/>
        <v>0</v>
      </c>
      <c r="M99" s="27">
        <f t="shared" si="216"/>
        <v>0</v>
      </c>
      <c r="N99" s="27">
        <f t="shared" si="216"/>
        <v>31347</v>
      </c>
      <c r="O99" s="27">
        <f t="shared" si="216"/>
        <v>0</v>
      </c>
      <c r="P99" s="27">
        <f t="shared" si="216"/>
        <v>0</v>
      </c>
      <c r="Q99" s="27">
        <f t="shared" si="216"/>
        <v>0</v>
      </c>
      <c r="R99" s="27">
        <f t="shared" si="216"/>
        <v>0</v>
      </c>
      <c r="S99" s="27">
        <f t="shared" si="216"/>
        <v>0</v>
      </c>
      <c r="T99" s="27">
        <f t="shared" si="216"/>
        <v>26169</v>
      </c>
      <c r="U99" s="27">
        <f t="shared" si="216"/>
        <v>32536</v>
      </c>
      <c r="V99" s="27">
        <f t="shared" si="216"/>
        <v>0</v>
      </c>
      <c r="W99" s="27">
        <f t="shared" si="216"/>
        <v>8377</v>
      </c>
      <c r="X99" s="27">
        <f t="shared" si="216"/>
        <v>24159</v>
      </c>
      <c r="Y99" s="27">
        <f t="shared" si="216"/>
        <v>0</v>
      </c>
      <c r="Z99" s="27">
        <f t="shared" si="216"/>
        <v>0</v>
      </c>
      <c r="AA99" s="27">
        <f t="shared" si="216"/>
        <v>0</v>
      </c>
      <c r="AB99" s="27">
        <f t="shared" si="216"/>
        <v>0</v>
      </c>
      <c r="AC99" s="27">
        <f t="shared" si="216"/>
        <v>0</v>
      </c>
      <c r="AD99" s="27">
        <f t="shared" ref="AD99" si="217">SUM(AD100+AD102+AD104)</f>
        <v>0</v>
      </c>
      <c r="AE99" s="27">
        <f t="shared" si="216"/>
        <v>15171045</v>
      </c>
      <c r="AF99" s="27">
        <f t="shared" si="216"/>
        <v>0</v>
      </c>
      <c r="AG99" s="27">
        <f t="shared" si="216"/>
        <v>0</v>
      </c>
      <c r="AH99" s="27">
        <f t="shared" si="216"/>
        <v>0</v>
      </c>
      <c r="AI99" s="27">
        <f t="shared" si="216"/>
        <v>0</v>
      </c>
      <c r="AJ99" s="27">
        <f t="shared" si="216"/>
        <v>0</v>
      </c>
      <c r="AK99" s="27">
        <f t="shared" si="216"/>
        <v>0</v>
      </c>
      <c r="AL99" s="27">
        <f t="shared" si="216"/>
        <v>0</v>
      </c>
      <c r="AM99" s="27">
        <f t="shared" si="216"/>
        <v>0</v>
      </c>
      <c r="AN99" s="27">
        <f t="shared" si="216"/>
        <v>0</v>
      </c>
      <c r="AO99" s="27">
        <f t="shared" si="216"/>
        <v>0</v>
      </c>
      <c r="AP99" s="27">
        <f t="shared" si="216"/>
        <v>0</v>
      </c>
      <c r="AQ99" s="27"/>
      <c r="AR99" s="27">
        <f t="shared" si="216"/>
        <v>0</v>
      </c>
      <c r="AS99" s="27">
        <f t="shared" si="216"/>
        <v>0</v>
      </c>
      <c r="AT99" s="27">
        <f t="shared" si="216"/>
        <v>0</v>
      </c>
      <c r="AU99" s="27">
        <f t="shared" si="216"/>
        <v>0</v>
      </c>
      <c r="AV99" s="27">
        <f t="shared" si="216"/>
        <v>0</v>
      </c>
      <c r="AW99" s="27">
        <f t="shared" si="216"/>
        <v>0</v>
      </c>
      <c r="AX99" s="27">
        <f t="shared" si="216"/>
        <v>0</v>
      </c>
      <c r="AY99" s="27">
        <f t="shared" si="216"/>
        <v>0</v>
      </c>
      <c r="AZ99" s="27">
        <f t="shared" si="216"/>
        <v>0</v>
      </c>
      <c r="BA99" s="27">
        <f t="shared" si="216"/>
        <v>15171045</v>
      </c>
      <c r="BB99" s="27">
        <f t="shared" si="216"/>
        <v>0</v>
      </c>
      <c r="BC99" s="27">
        <f t="shared" si="216"/>
        <v>0</v>
      </c>
      <c r="BD99" s="27">
        <f t="shared" si="216"/>
        <v>0</v>
      </c>
      <c r="BE99" s="27">
        <f t="shared" si="216"/>
        <v>0</v>
      </c>
      <c r="BF99" s="27">
        <f t="shared" si="216"/>
        <v>0</v>
      </c>
      <c r="BG99" s="27">
        <f t="shared" si="216"/>
        <v>0</v>
      </c>
      <c r="BH99" s="27">
        <f t="shared" si="216"/>
        <v>0</v>
      </c>
      <c r="BI99" s="27">
        <f t="shared" si="216"/>
        <v>0</v>
      </c>
      <c r="BJ99" s="27">
        <f t="shared" si="216"/>
        <v>0</v>
      </c>
      <c r="BK99" s="27">
        <f t="shared" ref="BK99" si="218">SUM(BK100+BK102+BK104)</f>
        <v>0</v>
      </c>
      <c r="BL99" s="27">
        <f t="shared" si="216"/>
        <v>0</v>
      </c>
      <c r="BM99" s="27">
        <f t="shared" si="216"/>
        <v>0</v>
      </c>
      <c r="BN99" s="27">
        <f t="shared" si="216"/>
        <v>0</v>
      </c>
      <c r="BO99" s="27">
        <f t="shared" si="216"/>
        <v>0</v>
      </c>
      <c r="BP99" s="27">
        <f t="shared" si="216"/>
        <v>0</v>
      </c>
      <c r="BQ99" s="27">
        <f t="shared" si="216"/>
        <v>0</v>
      </c>
      <c r="BR99" s="27">
        <f t="shared" si="216"/>
        <v>0</v>
      </c>
      <c r="BS99" s="27">
        <f t="shared" ref="BS99:DA99" si="219">SUM(BS100+BS102+BS104)</f>
        <v>0</v>
      </c>
      <c r="BT99" s="27">
        <f t="shared" si="219"/>
        <v>0</v>
      </c>
      <c r="BU99" s="27">
        <f t="shared" si="219"/>
        <v>0</v>
      </c>
      <c r="BV99" s="27">
        <f t="shared" si="219"/>
        <v>0</v>
      </c>
      <c r="BW99" s="27">
        <f t="shared" si="219"/>
        <v>0</v>
      </c>
      <c r="BX99" s="27">
        <f t="shared" si="219"/>
        <v>0</v>
      </c>
      <c r="BY99" s="27">
        <f t="shared" si="219"/>
        <v>0</v>
      </c>
      <c r="BZ99" s="27">
        <f t="shared" si="219"/>
        <v>0</v>
      </c>
      <c r="CA99" s="27">
        <f t="shared" si="219"/>
        <v>385797</v>
      </c>
      <c r="CB99" s="27">
        <f t="shared" si="219"/>
        <v>385797</v>
      </c>
      <c r="CC99" s="27">
        <f t="shared" si="219"/>
        <v>0</v>
      </c>
      <c r="CD99" s="27">
        <f t="shared" si="219"/>
        <v>0</v>
      </c>
      <c r="CE99" s="27">
        <f t="shared" si="219"/>
        <v>0</v>
      </c>
      <c r="CF99" s="27">
        <f t="shared" si="219"/>
        <v>385797</v>
      </c>
      <c r="CG99" s="27">
        <f t="shared" si="219"/>
        <v>0</v>
      </c>
      <c r="CH99" s="27">
        <f t="shared" si="219"/>
        <v>385797</v>
      </c>
      <c r="CI99" s="27">
        <f t="shared" si="219"/>
        <v>0</v>
      </c>
      <c r="CJ99" s="27">
        <f t="shared" si="219"/>
        <v>0</v>
      </c>
      <c r="CK99" s="27">
        <f t="shared" si="219"/>
        <v>0</v>
      </c>
      <c r="CL99" s="27">
        <f t="shared" si="219"/>
        <v>0</v>
      </c>
      <c r="CM99" s="27">
        <f t="shared" si="219"/>
        <v>0</v>
      </c>
      <c r="CN99" s="27">
        <f t="shared" si="219"/>
        <v>0</v>
      </c>
      <c r="CO99" s="27">
        <f t="shared" si="219"/>
        <v>0</v>
      </c>
      <c r="CP99" s="27">
        <f t="shared" si="219"/>
        <v>0</v>
      </c>
      <c r="CQ99" s="27">
        <f t="shared" si="219"/>
        <v>0</v>
      </c>
      <c r="CR99" s="27"/>
      <c r="CS99" s="27"/>
      <c r="CT99" s="27">
        <f t="shared" si="219"/>
        <v>0</v>
      </c>
      <c r="CU99" s="27"/>
      <c r="CV99" s="27"/>
      <c r="CW99" s="27"/>
      <c r="CX99" s="27">
        <f t="shared" si="219"/>
        <v>0</v>
      </c>
      <c r="CY99" s="27">
        <f t="shared" si="219"/>
        <v>0</v>
      </c>
      <c r="CZ99" s="27">
        <f t="shared" si="219"/>
        <v>0</v>
      </c>
      <c r="DA99" s="55">
        <f t="shared" si="219"/>
        <v>0</v>
      </c>
      <c r="DB99" s="85"/>
    </row>
    <row r="100" spans="1:106" ht="15.75" x14ac:dyDescent="0.25">
      <c r="A100" s="71" t="s">
        <v>198</v>
      </c>
      <c r="B100" s="16" t="s">
        <v>1</v>
      </c>
      <c r="C100" s="17" t="s">
        <v>199</v>
      </c>
      <c r="D100" s="18">
        <f t="shared" ref="D100:AI100" si="220">SUM(D101:D101)</f>
        <v>13080932</v>
      </c>
      <c r="E100" s="19">
        <f t="shared" si="220"/>
        <v>13080932</v>
      </c>
      <c r="F100" s="19">
        <f t="shared" si="220"/>
        <v>13080932</v>
      </c>
      <c r="G100" s="19">
        <f t="shared" si="220"/>
        <v>0</v>
      </c>
      <c r="H100" s="19">
        <f t="shared" si="220"/>
        <v>0</v>
      </c>
      <c r="I100" s="19">
        <f t="shared" si="220"/>
        <v>0</v>
      </c>
      <c r="J100" s="19">
        <f t="shared" si="220"/>
        <v>0</v>
      </c>
      <c r="K100" s="19">
        <f t="shared" si="220"/>
        <v>0</v>
      </c>
      <c r="L100" s="19">
        <f t="shared" si="220"/>
        <v>0</v>
      </c>
      <c r="M100" s="19">
        <f t="shared" si="220"/>
        <v>0</v>
      </c>
      <c r="N100" s="19">
        <f t="shared" si="220"/>
        <v>0</v>
      </c>
      <c r="O100" s="19">
        <f t="shared" si="220"/>
        <v>0</v>
      </c>
      <c r="P100" s="19">
        <f t="shared" si="220"/>
        <v>0</v>
      </c>
      <c r="Q100" s="19">
        <f t="shared" si="220"/>
        <v>0</v>
      </c>
      <c r="R100" s="19">
        <f t="shared" si="220"/>
        <v>0</v>
      </c>
      <c r="S100" s="19">
        <f t="shared" si="220"/>
        <v>0</v>
      </c>
      <c r="T100" s="19">
        <f t="shared" si="220"/>
        <v>0</v>
      </c>
      <c r="U100" s="19">
        <f t="shared" si="220"/>
        <v>0</v>
      </c>
      <c r="V100" s="19">
        <f t="shared" si="220"/>
        <v>0</v>
      </c>
      <c r="W100" s="19">
        <f t="shared" si="220"/>
        <v>0</v>
      </c>
      <c r="X100" s="19">
        <f t="shared" si="220"/>
        <v>0</v>
      </c>
      <c r="Y100" s="19">
        <f t="shared" si="220"/>
        <v>0</v>
      </c>
      <c r="Z100" s="19">
        <f t="shared" si="220"/>
        <v>0</v>
      </c>
      <c r="AA100" s="19">
        <f t="shared" si="220"/>
        <v>0</v>
      </c>
      <c r="AB100" s="19">
        <f t="shared" si="220"/>
        <v>0</v>
      </c>
      <c r="AC100" s="19">
        <f t="shared" si="220"/>
        <v>0</v>
      </c>
      <c r="AD100" s="19">
        <f t="shared" si="220"/>
        <v>0</v>
      </c>
      <c r="AE100" s="19">
        <f t="shared" si="220"/>
        <v>13080932</v>
      </c>
      <c r="AF100" s="19">
        <f t="shared" si="220"/>
        <v>0</v>
      </c>
      <c r="AG100" s="19">
        <f t="shared" si="220"/>
        <v>0</v>
      </c>
      <c r="AH100" s="19">
        <f t="shared" si="220"/>
        <v>0</v>
      </c>
      <c r="AI100" s="19">
        <f t="shared" si="220"/>
        <v>0</v>
      </c>
      <c r="AJ100" s="19">
        <f t="shared" ref="AJ100:BQ100" si="221">SUM(AJ101:AJ101)</f>
        <v>0</v>
      </c>
      <c r="AK100" s="19">
        <f t="shared" si="221"/>
        <v>0</v>
      </c>
      <c r="AL100" s="19">
        <f t="shared" si="221"/>
        <v>0</v>
      </c>
      <c r="AM100" s="19">
        <f t="shared" si="221"/>
        <v>0</v>
      </c>
      <c r="AN100" s="19">
        <f t="shared" si="221"/>
        <v>0</v>
      </c>
      <c r="AO100" s="19">
        <f t="shared" si="221"/>
        <v>0</v>
      </c>
      <c r="AP100" s="19">
        <f t="shared" si="221"/>
        <v>0</v>
      </c>
      <c r="AQ100" s="19"/>
      <c r="AR100" s="19">
        <f t="shared" si="221"/>
        <v>0</v>
      </c>
      <c r="AS100" s="19">
        <f t="shared" si="221"/>
        <v>0</v>
      </c>
      <c r="AT100" s="19">
        <f t="shared" si="221"/>
        <v>0</v>
      </c>
      <c r="AU100" s="19">
        <f t="shared" si="221"/>
        <v>0</v>
      </c>
      <c r="AV100" s="19">
        <f t="shared" si="221"/>
        <v>0</v>
      </c>
      <c r="AW100" s="19">
        <f t="shared" si="221"/>
        <v>0</v>
      </c>
      <c r="AX100" s="19">
        <f t="shared" si="221"/>
        <v>0</v>
      </c>
      <c r="AY100" s="19">
        <f t="shared" si="221"/>
        <v>0</v>
      </c>
      <c r="AZ100" s="19">
        <f t="shared" si="221"/>
        <v>0</v>
      </c>
      <c r="BA100" s="19">
        <f t="shared" si="221"/>
        <v>13080932</v>
      </c>
      <c r="BB100" s="19">
        <f t="shared" si="221"/>
        <v>0</v>
      </c>
      <c r="BC100" s="19">
        <f t="shared" si="221"/>
        <v>0</v>
      </c>
      <c r="BD100" s="19">
        <f t="shared" si="221"/>
        <v>0</v>
      </c>
      <c r="BE100" s="19">
        <f t="shared" si="221"/>
        <v>0</v>
      </c>
      <c r="BF100" s="19">
        <f t="shared" si="221"/>
        <v>0</v>
      </c>
      <c r="BG100" s="19">
        <f t="shared" si="221"/>
        <v>0</v>
      </c>
      <c r="BH100" s="19">
        <f t="shared" si="221"/>
        <v>0</v>
      </c>
      <c r="BI100" s="19">
        <f t="shared" si="221"/>
        <v>0</v>
      </c>
      <c r="BJ100" s="19">
        <f t="shared" si="221"/>
        <v>0</v>
      </c>
      <c r="BK100" s="19">
        <f t="shared" si="221"/>
        <v>0</v>
      </c>
      <c r="BL100" s="19">
        <f t="shared" si="221"/>
        <v>0</v>
      </c>
      <c r="BM100" s="19">
        <f t="shared" si="221"/>
        <v>0</v>
      </c>
      <c r="BN100" s="19">
        <f t="shared" si="221"/>
        <v>0</v>
      </c>
      <c r="BO100" s="19">
        <f t="shared" si="221"/>
        <v>0</v>
      </c>
      <c r="BP100" s="19">
        <f t="shared" si="221"/>
        <v>0</v>
      </c>
      <c r="BQ100" s="19">
        <f t="shared" si="221"/>
        <v>0</v>
      </c>
      <c r="BR100" s="19">
        <f t="shared" ref="BR100:DA100" si="222">SUM(BR101:BR101)</f>
        <v>0</v>
      </c>
      <c r="BS100" s="19">
        <f t="shared" si="222"/>
        <v>0</v>
      </c>
      <c r="BT100" s="19">
        <f t="shared" si="222"/>
        <v>0</v>
      </c>
      <c r="BU100" s="19">
        <f t="shared" si="222"/>
        <v>0</v>
      </c>
      <c r="BV100" s="19">
        <f t="shared" si="222"/>
        <v>0</v>
      </c>
      <c r="BW100" s="19">
        <f t="shared" si="222"/>
        <v>0</v>
      </c>
      <c r="BX100" s="19">
        <f t="shared" si="222"/>
        <v>0</v>
      </c>
      <c r="BY100" s="19">
        <f t="shared" si="222"/>
        <v>0</v>
      </c>
      <c r="BZ100" s="19">
        <f t="shared" si="222"/>
        <v>0</v>
      </c>
      <c r="CA100" s="19">
        <f t="shared" si="222"/>
        <v>0</v>
      </c>
      <c r="CB100" s="19">
        <f t="shared" si="222"/>
        <v>0</v>
      </c>
      <c r="CC100" s="19">
        <f t="shared" si="222"/>
        <v>0</v>
      </c>
      <c r="CD100" s="19">
        <f t="shared" si="222"/>
        <v>0</v>
      </c>
      <c r="CE100" s="19">
        <f t="shared" si="222"/>
        <v>0</v>
      </c>
      <c r="CF100" s="19">
        <f t="shared" si="222"/>
        <v>0</v>
      </c>
      <c r="CG100" s="19">
        <f t="shared" si="222"/>
        <v>0</v>
      </c>
      <c r="CH100" s="19">
        <f t="shared" si="222"/>
        <v>0</v>
      </c>
      <c r="CI100" s="19">
        <f t="shared" si="222"/>
        <v>0</v>
      </c>
      <c r="CJ100" s="19">
        <f t="shared" si="222"/>
        <v>0</v>
      </c>
      <c r="CK100" s="19">
        <f t="shared" si="222"/>
        <v>0</v>
      </c>
      <c r="CL100" s="19">
        <f t="shared" si="222"/>
        <v>0</v>
      </c>
      <c r="CM100" s="19">
        <f t="shared" si="222"/>
        <v>0</v>
      </c>
      <c r="CN100" s="19">
        <f t="shared" si="222"/>
        <v>0</v>
      </c>
      <c r="CO100" s="19">
        <f t="shared" si="222"/>
        <v>0</v>
      </c>
      <c r="CP100" s="19">
        <f t="shared" si="222"/>
        <v>0</v>
      </c>
      <c r="CQ100" s="19">
        <f t="shared" si="222"/>
        <v>0</v>
      </c>
      <c r="CR100" s="19"/>
      <c r="CS100" s="19"/>
      <c r="CT100" s="19">
        <f t="shared" si="222"/>
        <v>0</v>
      </c>
      <c r="CU100" s="19"/>
      <c r="CV100" s="19"/>
      <c r="CW100" s="19"/>
      <c r="CX100" s="19">
        <f t="shared" si="222"/>
        <v>0</v>
      </c>
      <c r="CY100" s="19">
        <f t="shared" si="222"/>
        <v>0</v>
      </c>
      <c r="CZ100" s="19">
        <f t="shared" si="222"/>
        <v>0</v>
      </c>
      <c r="DA100" s="20">
        <f t="shared" si="222"/>
        <v>0</v>
      </c>
    </row>
    <row r="101" spans="1:106" ht="31.5" x14ac:dyDescent="0.25">
      <c r="A101" s="72" t="s">
        <v>1</v>
      </c>
      <c r="B101" s="21" t="s">
        <v>100</v>
      </c>
      <c r="C101" s="22" t="s">
        <v>514</v>
      </c>
      <c r="D101" s="18">
        <f>SUM(E101+CA101+CX101)</f>
        <v>13080932</v>
      </c>
      <c r="E101" s="19">
        <f>SUM(F101+BB101)</f>
        <v>13080932</v>
      </c>
      <c r="F101" s="19">
        <f>SUM(G101+H101+I101+P101+S101+T101+U101+AE101)</f>
        <v>13080932</v>
      </c>
      <c r="G101" s="19">
        <v>0</v>
      </c>
      <c r="H101" s="19">
        <v>0</v>
      </c>
      <c r="I101" s="19">
        <f t="shared" ref="I101" si="223">SUM(J101:O101)</f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f t="shared" ref="P101" si="224">SUM(Q101:R101)</f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f>SUM(V101:AC101)</f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f>SUM(AF101:BA101)</f>
        <v>13080932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/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23">
        <v>13080932</v>
      </c>
      <c r="BB101" s="19">
        <f>SUM(BC101+BG101+BJ101+BL101+BO101)</f>
        <v>0</v>
      </c>
      <c r="BC101" s="19">
        <f>SUM(BD101:BF101)</f>
        <v>0</v>
      </c>
      <c r="BD101" s="19">
        <v>0</v>
      </c>
      <c r="BE101" s="19">
        <v>0</v>
      </c>
      <c r="BF101" s="19">
        <v>0</v>
      </c>
      <c r="BG101" s="39">
        <f>SUM(BH101:BI101)</f>
        <v>0</v>
      </c>
      <c r="BH101" s="19"/>
      <c r="BI101" s="19">
        <v>0</v>
      </c>
      <c r="BJ101" s="19">
        <v>0</v>
      </c>
      <c r="BK101" s="19">
        <v>0</v>
      </c>
      <c r="BL101" s="19">
        <f t="shared" ref="BL101" si="225">SUM(BM101)</f>
        <v>0</v>
      </c>
      <c r="BM101" s="19">
        <v>0</v>
      </c>
      <c r="BN101" s="19">
        <v>0</v>
      </c>
      <c r="BO101" s="19">
        <f>SUM(BP101:BZ101)</f>
        <v>0</v>
      </c>
      <c r="BP101" s="19">
        <v>0</v>
      </c>
      <c r="BQ101" s="19">
        <v>0</v>
      </c>
      <c r="BR101" s="19">
        <v>0</v>
      </c>
      <c r="BS101" s="19">
        <v>0</v>
      </c>
      <c r="BT101" s="19">
        <v>0</v>
      </c>
      <c r="BU101" s="19">
        <v>0</v>
      </c>
      <c r="BV101" s="19">
        <v>0</v>
      </c>
      <c r="BW101" s="19">
        <v>0</v>
      </c>
      <c r="BX101" s="19">
        <v>0</v>
      </c>
      <c r="BY101" s="19">
        <v>0</v>
      </c>
      <c r="BZ101" s="19">
        <v>0</v>
      </c>
      <c r="CA101" s="19">
        <f>SUM(CB101+CT101)</f>
        <v>0</v>
      </c>
      <c r="CB101" s="19">
        <f>SUM(CC101+CF101+CL101)</f>
        <v>0</v>
      </c>
      <c r="CC101" s="19">
        <f t="shared" ref="CC101" si="226">SUM(CD101:CE101)</f>
        <v>0</v>
      </c>
      <c r="CD101" s="19">
        <v>0</v>
      </c>
      <c r="CE101" s="19">
        <v>0</v>
      </c>
      <c r="CF101" s="19">
        <f>SUM(CG101:CK101)</f>
        <v>0</v>
      </c>
      <c r="CG101" s="19">
        <v>0</v>
      </c>
      <c r="CH101" s="19">
        <v>0</v>
      </c>
      <c r="CI101" s="19">
        <v>0</v>
      </c>
      <c r="CJ101" s="19">
        <v>0</v>
      </c>
      <c r="CK101" s="19">
        <v>0</v>
      </c>
      <c r="CL101" s="19">
        <f>SUM(CM101:CQ101)</f>
        <v>0</v>
      </c>
      <c r="CM101" s="19">
        <v>0</v>
      </c>
      <c r="CN101" s="19">
        <v>0</v>
      </c>
      <c r="CO101" s="19">
        <v>0</v>
      </c>
      <c r="CP101" s="19"/>
      <c r="CQ101" s="19"/>
      <c r="CR101" s="19"/>
      <c r="CS101" s="19"/>
      <c r="CT101" s="19">
        <v>0</v>
      </c>
      <c r="CU101" s="19"/>
      <c r="CV101" s="19"/>
      <c r="CW101" s="19"/>
      <c r="CX101" s="19">
        <f t="shared" ref="CX101" si="227">SUM(CY101)</f>
        <v>0</v>
      </c>
      <c r="CY101" s="19">
        <f t="shared" ref="CY101" si="228">SUM(CZ101:DA101)</f>
        <v>0</v>
      </c>
      <c r="CZ101" s="19">
        <v>0</v>
      </c>
      <c r="DA101" s="20">
        <v>0</v>
      </c>
    </row>
    <row r="102" spans="1:106" ht="15.75" x14ac:dyDescent="0.25">
      <c r="A102" s="71" t="s">
        <v>590</v>
      </c>
      <c r="B102" s="16" t="s">
        <v>1</v>
      </c>
      <c r="C102" s="17" t="s">
        <v>591</v>
      </c>
      <c r="D102" s="18">
        <f t="shared" ref="D102:AK104" si="229">SUM(D103)</f>
        <v>2090113</v>
      </c>
      <c r="E102" s="19">
        <f t="shared" si="229"/>
        <v>2090113</v>
      </c>
      <c r="F102" s="19">
        <f t="shared" si="229"/>
        <v>2090113</v>
      </c>
      <c r="G102" s="19">
        <f t="shared" si="229"/>
        <v>0</v>
      </c>
      <c r="H102" s="19">
        <f t="shared" si="229"/>
        <v>0</v>
      </c>
      <c r="I102" s="19">
        <f t="shared" si="229"/>
        <v>0</v>
      </c>
      <c r="J102" s="19">
        <f t="shared" si="229"/>
        <v>0</v>
      </c>
      <c r="K102" s="19">
        <f t="shared" si="229"/>
        <v>0</v>
      </c>
      <c r="L102" s="19">
        <f t="shared" si="229"/>
        <v>0</v>
      </c>
      <c r="M102" s="19">
        <f t="shared" si="229"/>
        <v>0</v>
      </c>
      <c r="N102" s="19">
        <f t="shared" si="229"/>
        <v>0</v>
      </c>
      <c r="O102" s="19">
        <f t="shared" si="229"/>
        <v>0</v>
      </c>
      <c r="P102" s="19">
        <f t="shared" si="229"/>
        <v>0</v>
      </c>
      <c r="Q102" s="19">
        <f t="shared" si="229"/>
        <v>0</v>
      </c>
      <c r="R102" s="19">
        <f t="shared" si="229"/>
        <v>0</v>
      </c>
      <c r="S102" s="19">
        <f t="shared" si="229"/>
        <v>0</v>
      </c>
      <c r="T102" s="19">
        <f t="shared" si="229"/>
        <v>0</v>
      </c>
      <c r="U102" s="19">
        <f t="shared" si="229"/>
        <v>0</v>
      </c>
      <c r="V102" s="19">
        <f t="shared" si="229"/>
        <v>0</v>
      </c>
      <c r="W102" s="19">
        <f t="shared" si="229"/>
        <v>0</v>
      </c>
      <c r="X102" s="19">
        <f t="shared" si="229"/>
        <v>0</v>
      </c>
      <c r="Y102" s="19">
        <f t="shared" si="229"/>
        <v>0</v>
      </c>
      <c r="Z102" s="19">
        <f t="shared" si="229"/>
        <v>0</v>
      </c>
      <c r="AA102" s="19">
        <f t="shared" si="229"/>
        <v>0</v>
      </c>
      <c r="AB102" s="19">
        <f t="shared" si="229"/>
        <v>0</v>
      </c>
      <c r="AC102" s="19">
        <f t="shared" si="229"/>
        <v>0</v>
      </c>
      <c r="AD102" s="19">
        <f t="shared" si="229"/>
        <v>0</v>
      </c>
      <c r="AE102" s="19">
        <f t="shared" si="229"/>
        <v>2090113</v>
      </c>
      <c r="AF102" s="19">
        <f t="shared" si="229"/>
        <v>0</v>
      </c>
      <c r="AG102" s="19">
        <f t="shared" si="229"/>
        <v>0</v>
      </c>
      <c r="AH102" s="19">
        <f t="shared" si="229"/>
        <v>0</v>
      </c>
      <c r="AI102" s="19">
        <f t="shared" si="229"/>
        <v>0</v>
      </c>
      <c r="AJ102" s="19">
        <f t="shared" si="229"/>
        <v>0</v>
      </c>
      <c r="AK102" s="19">
        <f t="shared" si="229"/>
        <v>0</v>
      </c>
      <c r="AL102" s="19">
        <f t="shared" ref="AL102:DA104" si="230">SUM(AL103)</f>
        <v>0</v>
      </c>
      <c r="AM102" s="19">
        <f t="shared" si="230"/>
        <v>0</v>
      </c>
      <c r="AN102" s="19">
        <f t="shared" si="230"/>
        <v>0</v>
      </c>
      <c r="AO102" s="19">
        <f t="shared" si="230"/>
        <v>0</v>
      </c>
      <c r="AP102" s="19">
        <f t="shared" si="230"/>
        <v>0</v>
      </c>
      <c r="AQ102" s="19"/>
      <c r="AR102" s="19">
        <f t="shared" si="230"/>
        <v>0</v>
      </c>
      <c r="AS102" s="19">
        <f t="shared" si="230"/>
        <v>0</v>
      </c>
      <c r="AT102" s="19">
        <f t="shared" si="230"/>
        <v>0</v>
      </c>
      <c r="AU102" s="19"/>
      <c r="AV102" s="19"/>
      <c r="AW102" s="19">
        <f t="shared" si="230"/>
        <v>0</v>
      </c>
      <c r="AX102" s="19">
        <f t="shared" si="230"/>
        <v>0</v>
      </c>
      <c r="AY102" s="19">
        <f t="shared" si="230"/>
        <v>0</v>
      </c>
      <c r="AZ102" s="19"/>
      <c r="BA102" s="19">
        <f t="shared" si="230"/>
        <v>2090113</v>
      </c>
      <c r="BB102" s="19">
        <f t="shared" si="230"/>
        <v>0</v>
      </c>
      <c r="BC102" s="19">
        <f t="shared" si="230"/>
        <v>0</v>
      </c>
      <c r="BD102" s="19">
        <f t="shared" si="230"/>
        <v>0</v>
      </c>
      <c r="BE102" s="19">
        <f t="shared" si="230"/>
        <v>0</v>
      </c>
      <c r="BF102" s="19">
        <f t="shared" si="230"/>
        <v>0</v>
      </c>
      <c r="BG102" s="19">
        <f t="shared" si="230"/>
        <v>0</v>
      </c>
      <c r="BH102" s="19">
        <f t="shared" si="230"/>
        <v>0</v>
      </c>
      <c r="BI102" s="19">
        <f t="shared" si="230"/>
        <v>0</v>
      </c>
      <c r="BJ102" s="19">
        <f t="shared" si="230"/>
        <v>0</v>
      </c>
      <c r="BK102" s="19">
        <f t="shared" si="230"/>
        <v>0</v>
      </c>
      <c r="BL102" s="19">
        <f t="shared" si="230"/>
        <v>0</v>
      </c>
      <c r="BM102" s="19">
        <f t="shared" si="230"/>
        <v>0</v>
      </c>
      <c r="BN102" s="19">
        <f t="shared" si="230"/>
        <v>0</v>
      </c>
      <c r="BO102" s="19">
        <f t="shared" si="230"/>
        <v>0</v>
      </c>
      <c r="BP102" s="19">
        <f t="shared" si="230"/>
        <v>0</v>
      </c>
      <c r="BQ102" s="19">
        <f t="shared" si="230"/>
        <v>0</v>
      </c>
      <c r="BR102" s="19">
        <f t="shared" si="230"/>
        <v>0</v>
      </c>
      <c r="BS102" s="19">
        <f t="shared" si="230"/>
        <v>0</v>
      </c>
      <c r="BT102" s="19">
        <f t="shared" si="230"/>
        <v>0</v>
      </c>
      <c r="BU102" s="19">
        <f t="shared" si="230"/>
        <v>0</v>
      </c>
      <c r="BV102" s="19">
        <f t="shared" si="230"/>
        <v>0</v>
      </c>
      <c r="BW102" s="19">
        <f t="shared" si="230"/>
        <v>0</v>
      </c>
      <c r="BX102" s="19">
        <f t="shared" si="230"/>
        <v>0</v>
      </c>
      <c r="BY102" s="19">
        <f t="shared" si="230"/>
        <v>0</v>
      </c>
      <c r="BZ102" s="19">
        <f t="shared" si="230"/>
        <v>0</v>
      </c>
      <c r="CA102" s="19">
        <f t="shared" si="230"/>
        <v>0</v>
      </c>
      <c r="CB102" s="19">
        <f t="shared" si="230"/>
        <v>0</v>
      </c>
      <c r="CC102" s="19">
        <f t="shared" si="230"/>
        <v>0</v>
      </c>
      <c r="CD102" s="19">
        <f t="shared" si="230"/>
        <v>0</v>
      </c>
      <c r="CE102" s="19">
        <f t="shared" si="230"/>
        <v>0</v>
      </c>
      <c r="CF102" s="19">
        <f t="shared" si="230"/>
        <v>0</v>
      </c>
      <c r="CG102" s="19">
        <f t="shared" si="230"/>
        <v>0</v>
      </c>
      <c r="CH102" s="19">
        <f t="shared" si="230"/>
        <v>0</v>
      </c>
      <c r="CI102" s="19">
        <f t="shared" si="230"/>
        <v>0</v>
      </c>
      <c r="CJ102" s="19">
        <f t="shared" si="230"/>
        <v>0</v>
      </c>
      <c r="CK102" s="19">
        <f t="shared" si="230"/>
        <v>0</v>
      </c>
      <c r="CL102" s="19">
        <f t="shared" si="230"/>
        <v>0</v>
      </c>
      <c r="CM102" s="19">
        <f t="shared" si="230"/>
        <v>0</v>
      </c>
      <c r="CN102" s="19">
        <f t="shared" si="230"/>
        <v>0</v>
      </c>
      <c r="CO102" s="19">
        <f t="shared" si="230"/>
        <v>0</v>
      </c>
      <c r="CP102" s="19"/>
      <c r="CQ102" s="19"/>
      <c r="CR102" s="19"/>
      <c r="CS102" s="19"/>
      <c r="CT102" s="19">
        <f t="shared" si="230"/>
        <v>0</v>
      </c>
      <c r="CU102" s="19"/>
      <c r="CV102" s="19"/>
      <c r="CW102" s="19"/>
      <c r="CX102" s="19">
        <f t="shared" si="230"/>
        <v>0</v>
      </c>
      <c r="CY102" s="19">
        <f t="shared" si="230"/>
        <v>0</v>
      </c>
      <c r="CZ102" s="19">
        <f t="shared" si="230"/>
        <v>0</v>
      </c>
      <c r="DA102" s="20">
        <f t="shared" si="230"/>
        <v>0</v>
      </c>
    </row>
    <row r="103" spans="1:106" ht="31.5" x14ac:dyDescent="0.25">
      <c r="A103" s="72" t="s">
        <v>1</v>
      </c>
      <c r="B103" s="21" t="s">
        <v>100</v>
      </c>
      <c r="C103" s="22" t="s">
        <v>592</v>
      </c>
      <c r="D103" s="18">
        <f>SUM(E103+CA103+CX103)</f>
        <v>2090113</v>
      </c>
      <c r="E103" s="19">
        <f>SUM(F103+BB103)</f>
        <v>2090113</v>
      </c>
      <c r="F103" s="19">
        <f>SUM(G103+H103+I103+P103+S103+T103+U103+AE103)</f>
        <v>2090113</v>
      </c>
      <c r="G103" s="23"/>
      <c r="H103" s="23"/>
      <c r="I103" s="19">
        <f t="shared" ref="I103" si="231">SUM(J103:O103)</f>
        <v>0</v>
      </c>
      <c r="J103" s="19">
        <v>0</v>
      </c>
      <c r="K103" s="19">
        <v>0</v>
      </c>
      <c r="L103" s="19">
        <v>0</v>
      </c>
      <c r="M103" s="19"/>
      <c r="N103" s="23"/>
      <c r="O103" s="19">
        <v>0</v>
      </c>
      <c r="P103" s="19">
        <f t="shared" ref="P103" si="232">SUM(Q103:R103)</f>
        <v>0</v>
      </c>
      <c r="Q103" s="19">
        <v>0</v>
      </c>
      <c r="R103" s="19">
        <v>0</v>
      </c>
      <c r="S103" s="19">
        <v>0</v>
      </c>
      <c r="T103" s="23"/>
      <c r="U103" s="19">
        <f>SUM(V103:AC103)</f>
        <v>0</v>
      </c>
      <c r="V103" s="19">
        <v>0</v>
      </c>
      <c r="W103" s="23"/>
      <c r="X103" s="23"/>
      <c r="Y103" s="23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f>SUM(AF103:BA103)</f>
        <v>2090113</v>
      </c>
      <c r="AF103" s="19">
        <v>0</v>
      </c>
      <c r="AG103" s="19">
        <v>0</v>
      </c>
      <c r="AH103" s="19">
        <v>0</v>
      </c>
      <c r="AI103" s="19"/>
      <c r="AJ103" s="19">
        <v>0</v>
      </c>
      <c r="AK103" s="19">
        <v>0</v>
      </c>
      <c r="AL103" s="19">
        <v>0</v>
      </c>
      <c r="AM103" s="19"/>
      <c r="AN103" s="19">
        <v>0</v>
      </c>
      <c r="AO103" s="19">
        <v>0</v>
      </c>
      <c r="AP103" s="19">
        <v>0</v>
      </c>
      <c r="AQ103" s="19"/>
      <c r="AR103" s="19">
        <v>0</v>
      </c>
      <c r="AS103" s="19">
        <v>0</v>
      </c>
      <c r="AT103" s="19">
        <v>0</v>
      </c>
      <c r="AU103" s="19"/>
      <c r="AV103" s="19"/>
      <c r="AW103" s="19">
        <v>0</v>
      </c>
      <c r="AX103" s="19">
        <v>0</v>
      </c>
      <c r="AY103" s="19">
        <v>0</v>
      </c>
      <c r="AZ103" s="19"/>
      <c r="BA103" s="19">
        <f>1957401+132712</f>
        <v>2090113</v>
      </c>
      <c r="BB103" s="19">
        <f>SUM(BC103+BG103+BJ103+BL103+BO103)</f>
        <v>0</v>
      </c>
      <c r="BC103" s="19">
        <f>SUM(BD103:BF103)</f>
        <v>0</v>
      </c>
      <c r="BD103" s="19">
        <v>0</v>
      </c>
      <c r="BE103" s="19">
        <v>0</v>
      </c>
      <c r="BF103" s="19">
        <v>0</v>
      </c>
      <c r="BG103" s="19">
        <f>SUM(BI103:BI103)</f>
        <v>0</v>
      </c>
      <c r="BH103" s="19">
        <v>0</v>
      </c>
      <c r="BI103" s="19">
        <v>0</v>
      </c>
      <c r="BJ103" s="19">
        <v>0</v>
      </c>
      <c r="BK103" s="19">
        <v>0</v>
      </c>
      <c r="BL103" s="19">
        <f t="shared" ref="BL103" si="233">SUM(BM103)</f>
        <v>0</v>
      </c>
      <c r="BM103" s="19">
        <v>0</v>
      </c>
      <c r="BN103" s="19">
        <v>0</v>
      </c>
      <c r="BO103" s="19">
        <f>SUM(BP103:BZ103)</f>
        <v>0</v>
      </c>
      <c r="BP103" s="19">
        <v>0</v>
      </c>
      <c r="BQ103" s="19">
        <v>0</v>
      </c>
      <c r="BR103" s="19">
        <v>0</v>
      </c>
      <c r="BS103" s="19">
        <v>0</v>
      </c>
      <c r="BT103" s="19">
        <v>0</v>
      </c>
      <c r="BU103" s="19">
        <v>0</v>
      </c>
      <c r="BV103" s="19">
        <v>0</v>
      </c>
      <c r="BW103" s="19">
        <v>0</v>
      </c>
      <c r="BX103" s="19">
        <v>0</v>
      </c>
      <c r="BY103" s="19">
        <v>0</v>
      </c>
      <c r="BZ103" s="19">
        <v>0</v>
      </c>
      <c r="CA103" s="19">
        <f>SUM(CB103+CT103)</f>
        <v>0</v>
      </c>
      <c r="CB103" s="19">
        <f>SUM(CC103+CF103+CL103)</f>
        <v>0</v>
      </c>
      <c r="CC103" s="19">
        <f t="shared" ref="CC103" si="234">SUM(CD103:CE103)</f>
        <v>0</v>
      </c>
      <c r="CD103" s="19">
        <v>0</v>
      </c>
      <c r="CE103" s="23"/>
      <c r="CF103" s="19">
        <f>SUM(CG103:CK103)</f>
        <v>0</v>
      </c>
      <c r="CG103" s="19">
        <v>0</v>
      </c>
      <c r="CH103" s="19">
        <v>0</v>
      </c>
      <c r="CI103" s="19">
        <v>0</v>
      </c>
      <c r="CJ103" s="19">
        <v>0</v>
      </c>
      <c r="CK103" s="19">
        <v>0</v>
      </c>
      <c r="CL103" s="19">
        <f>SUM(CM103:CQ103)</f>
        <v>0</v>
      </c>
      <c r="CM103" s="19">
        <v>0</v>
      </c>
      <c r="CN103" s="19">
        <v>0</v>
      </c>
      <c r="CO103" s="19">
        <v>0</v>
      </c>
      <c r="CP103" s="19"/>
      <c r="CQ103" s="19"/>
      <c r="CR103" s="19"/>
      <c r="CS103" s="19"/>
      <c r="CT103" s="19">
        <v>0</v>
      </c>
      <c r="CU103" s="19"/>
      <c r="CV103" s="19"/>
      <c r="CW103" s="19"/>
      <c r="CX103" s="19">
        <f t="shared" ref="CX103" si="235">SUM(CY103)</f>
        <v>0</v>
      </c>
      <c r="CY103" s="19">
        <f t="shared" ref="CY103" si="236">SUM(CZ103:DA103)</f>
        <v>0</v>
      </c>
      <c r="CZ103" s="19">
        <v>0</v>
      </c>
      <c r="DA103" s="20">
        <v>0</v>
      </c>
    </row>
    <row r="104" spans="1:106" s="86" customFormat="1" ht="15.75" x14ac:dyDescent="0.25">
      <c r="A104" s="71" t="s">
        <v>200</v>
      </c>
      <c r="B104" s="16" t="s">
        <v>1</v>
      </c>
      <c r="C104" s="17" t="s">
        <v>201</v>
      </c>
      <c r="D104" s="18">
        <f t="shared" si="229"/>
        <v>5334835</v>
      </c>
      <c r="E104" s="18">
        <f t="shared" si="229"/>
        <v>4949038</v>
      </c>
      <c r="F104" s="18">
        <f t="shared" si="229"/>
        <v>4949038</v>
      </c>
      <c r="G104" s="18">
        <f t="shared" si="229"/>
        <v>3891282</v>
      </c>
      <c r="H104" s="18">
        <f t="shared" si="229"/>
        <v>967704</v>
      </c>
      <c r="I104" s="18">
        <f t="shared" si="229"/>
        <v>31347</v>
      </c>
      <c r="J104" s="18">
        <f t="shared" si="229"/>
        <v>0</v>
      </c>
      <c r="K104" s="18">
        <f t="shared" si="229"/>
        <v>0</v>
      </c>
      <c r="L104" s="18">
        <f t="shared" si="229"/>
        <v>0</v>
      </c>
      <c r="M104" s="18">
        <f t="shared" si="229"/>
        <v>0</v>
      </c>
      <c r="N104" s="18">
        <f t="shared" si="229"/>
        <v>31347</v>
      </c>
      <c r="O104" s="18">
        <f t="shared" si="229"/>
        <v>0</v>
      </c>
      <c r="P104" s="18">
        <f t="shared" si="229"/>
        <v>0</v>
      </c>
      <c r="Q104" s="18">
        <f t="shared" si="229"/>
        <v>0</v>
      </c>
      <c r="R104" s="18">
        <f t="shared" si="229"/>
        <v>0</v>
      </c>
      <c r="S104" s="18">
        <f t="shared" si="229"/>
        <v>0</v>
      </c>
      <c r="T104" s="18">
        <f t="shared" si="229"/>
        <v>26169</v>
      </c>
      <c r="U104" s="18">
        <f t="shared" si="229"/>
        <v>32536</v>
      </c>
      <c r="V104" s="18">
        <f t="shared" si="229"/>
        <v>0</v>
      </c>
      <c r="W104" s="18">
        <f t="shared" si="229"/>
        <v>8377</v>
      </c>
      <c r="X104" s="18">
        <f t="shared" si="229"/>
        <v>24159</v>
      </c>
      <c r="Y104" s="18">
        <f t="shared" si="229"/>
        <v>0</v>
      </c>
      <c r="Z104" s="18">
        <f t="shared" si="229"/>
        <v>0</v>
      </c>
      <c r="AA104" s="18">
        <f t="shared" si="229"/>
        <v>0</v>
      </c>
      <c r="AB104" s="18">
        <f t="shared" si="229"/>
        <v>0</v>
      </c>
      <c r="AC104" s="18">
        <f t="shared" si="229"/>
        <v>0</v>
      </c>
      <c r="AD104" s="18">
        <f t="shared" si="229"/>
        <v>0</v>
      </c>
      <c r="AE104" s="18">
        <f t="shared" si="229"/>
        <v>0</v>
      </c>
      <c r="AF104" s="18">
        <f t="shared" si="229"/>
        <v>0</v>
      </c>
      <c r="AG104" s="18">
        <f t="shared" si="229"/>
        <v>0</v>
      </c>
      <c r="AH104" s="18">
        <f t="shared" si="229"/>
        <v>0</v>
      </c>
      <c r="AI104" s="18">
        <f t="shared" si="229"/>
        <v>0</v>
      </c>
      <c r="AJ104" s="18">
        <f t="shared" si="229"/>
        <v>0</v>
      </c>
      <c r="AK104" s="18">
        <f t="shared" si="229"/>
        <v>0</v>
      </c>
      <c r="AL104" s="18">
        <f t="shared" si="230"/>
        <v>0</v>
      </c>
      <c r="AM104" s="18">
        <f t="shared" si="230"/>
        <v>0</v>
      </c>
      <c r="AN104" s="18">
        <f t="shared" si="230"/>
        <v>0</v>
      </c>
      <c r="AO104" s="18">
        <f t="shared" si="230"/>
        <v>0</v>
      </c>
      <c r="AP104" s="18">
        <f t="shared" si="230"/>
        <v>0</v>
      </c>
      <c r="AQ104" s="18"/>
      <c r="AR104" s="18">
        <f t="shared" si="230"/>
        <v>0</v>
      </c>
      <c r="AS104" s="18">
        <f t="shared" si="230"/>
        <v>0</v>
      </c>
      <c r="AT104" s="18">
        <f t="shared" si="230"/>
        <v>0</v>
      </c>
      <c r="AU104" s="18"/>
      <c r="AV104" s="18"/>
      <c r="AW104" s="18">
        <f t="shared" si="230"/>
        <v>0</v>
      </c>
      <c r="AX104" s="18">
        <f t="shared" si="230"/>
        <v>0</v>
      </c>
      <c r="AY104" s="18">
        <f t="shared" si="230"/>
        <v>0</v>
      </c>
      <c r="AZ104" s="18"/>
      <c r="BA104" s="18">
        <f t="shared" si="230"/>
        <v>0</v>
      </c>
      <c r="BB104" s="18">
        <f t="shared" si="230"/>
        <v>0</v>
      </c>
      <c r="BC104" s="18">
        <f t="shared" si="230"/>
        <v>0</v>
      </c>
      <c r="BD104" s="18">
        <f t="shared" si="230"/>
        <v>0</v>
      </c>
      <c r="BE104" s="18">
        <f t="shared" si="230"/>
        <v>0</v>
      </c>
      <c r="BF104" s="18">
        <f t="shared" si="230"/>
        <v>0</v>
      </c>
      <c r="BG104" s="18">
        <f t="shared" si="230"/>
        <v>0</v>
      </c>
      <c r="BH104" s="18">
        <f t="shared" si="230"/>
        <v>0</v>
      </c>
      <c r="BI104" s="18">
        <f t="shared" si="230"/>
        <v>0</v>
      </c>
      <c r="BJ104" s="18">
        <f t="shared" si="230"/>
        <v>0</v>
      </c>
      <c r="BK104" s="18">
        <f t="shared" si="230"/>
        <v>0</v>
      </c>
      <c r="BL104" s="18">
        <f t="shared" si="230"/>
        <v>0</v>
      </c>
      <c r="BM104" s="18">
        <f t="shared" si="230"/>
        <v>0</v>
      </c>
      <c r="BN104" s="18">
        <f t="shared" si="230"/>
        <v>0</v>
      </c>
      <c r="BO104" s="18">
        <f t="shared" si="230"/>
        <v>0</v>
      </c>
      <c r="BP104" s="18">
        <f t="shared" si="230"/>
        <v>0</v>
      </c>
      <c r="BQ104" s="18">
        <f t="shared" si="230"/>
        <v>0</v>
      </c>
      <c r="BR104" s="18">
        <f t="shared" si="230"/>
        <v>0</v>
      </c>
      <c r="BS104" s="18">
        <f t="shared" si="230"/>
        <v>0</v>
      </c>
      <c r="BT104" s="18">
        <f t="shared" si="230"/>
        <v>0</v>
      </c>
      <c r="BU104" s="18">
        <f t="shared" si="230"/>
        <v>0</v>
      </c>
      <c r="BV104" s="18">
        <f t="shared" si="230"/>
        <v>0</v>
      </c>
      <c r="BW104" s="18">
        <f t="shared" si="230"/>
        <v>0</v>
      </c>
      <c r="BX104" s="18">
        <f t="shared" si="230"/>
        <v>0</v>
      </c>
      <c r="BY104" s="18">
        <f t="shared" si="230"/>
        <v>0</v>
      </c>
      <c r="BZ104" s="18">
        <f t="shared" si="230"/>
        <v>0</v>
      </c>
      <c r="CA104" s="18">
        <f t="shared" si="230"/>
        <v>385797</v>
      </c>
      <c r="CB104" s="18">
        <f t="shared" si="230"/>
        <v>385797</v>
      </c>
      <c r="CC104" s="18">
        <f t="shared" si="230"/>
        <v>0</v>
      </c>
      <c r="CD104" s="18">
        <f t="shared" si="230"/>
        <v>0</v>
      </c>
      <c r="CE104" s="18">
        <f t="shared" si="230"/>
        <v>0</v>
      </c>
      <c r="CF104" s="18">
        <f t="shared" si="230"/>
        <v>385797</v>
      </c>
      <c r="CG104" s="18">
        <f t="shared" si="230"/>
        <v>0</v>
      </c>
      <c r="CH104" s="18">
        <f t="shared" si="230"/>
        <v>385797</v>
      </c>
      <c r="CI104" s="18">
        <f t="shared" si="230"/>
        <v>0</v>
      </c>
      <c r="CJ104" s="18">
        <f t="shared" si="230"/>
        <v>0</v>
      </c>
      <c r="CK104" s="18">
        <f t="shared" si="230"/>
        <v>0</v>
      </c>
      <c r="CL104" s="18">
        <f t="shared" si="230"/>
        <v>0</v>
      </c>
      <c r="CM104" s="18">
        <f t="shared" si="230"/>
        <v>0</v>
      </c>
      <c r="CN104" s="18">
        <f t="shared" si="230"/>
        <v>0</v>
      </c>
      <c r="CO104" s="18">
        <f t="shared" si="230"/>
        <v>0</v>
      </c>
      <c r="CP104" s="18"/>
      <c r="CQ104" s="18"/>
      <c r="CR104" s="18"/>
      <c r="CS104" s="18"/>
      <c r="CT104" s="18">
        <f t="shared" si="230"/>
        <v>0</v>
      </c>
      <c r="CU104" s="18"/>
      <c r="CV104" s="18"/>
      <c r="CW104" s="18"/>
      <c r="CX104" s="18">
        <f t="shared" si="230"/>
        <v>0</v>
      </c>
      <c r="CY104" s="18">
        <f t="shared" si="230"/>
        <v>0</v>
      </c>
      <c r="CZ104" s="18">
        <f t="shared" si="230"/>
        <v>0</v>
      </c>
      <c r="DA104" s="46">
        <f t="shared" si="230"/>
        <v>0</v>
      </c>
      <c r="DB104" s="85"/>
    </row>
    <row r="105" spans="1:106" ht="31.5" x14ac:dyDescent="0.25">
      <c r="A105" s="72" t="s">
        <v>1</v>
      </c>
      <c r="B105" s="21" t="s">
        <v>92</v>
      </c>
      <c r="C105" s="22" t="s">
        <v>549</v>
      </c>
      <c r="D105" s="18">
        <f>SUM(E105+CA105+CX105)</f>
        <v>5334835</v>
      </c>
      <c r="E105" s="19">
        <f>SUM(F105+BB105)</f>
        <v>4949038</v>
      </c>
      <c r="F105" s="19">
        <f>SUM(G105+H105+I105+P105+S105+T105+U105+AE105)</f>
        <v>4949038</v>
      </c>
      <c r="G105" s="23">
        <v>3891282</v>
      </c>
      <c r="H105" s="23">
        <v>967704</v>
      </c>
      <c r="I105" s="19">
        <f t="shared" si="120"/>
        <v>31347</v>
      </c>
      <c r="J105" s="19">
        <v>0</v>
      </c>
      <c r="K105" s="19">
        <v>0</v>
      </c>
      <c r="L105" s="19">
        <v>0</v>
      </c>
      <c r="M105" s="19"/>
      <c r="N105" s="23">
        <v>31347</v>
      </c>
      <c r="O105" s="19">
        <v>0</v>
      </c>
      <c r="P105" s="19">
        <f t="shared" si="121"/>
        <v>0</v>
      </c>
      <c r="Q105" s="19">
        <v>0</v>
      </c>
      <c r="R105" s="19">
        <v>0</v>
      </c>
      <c r="S105" s="19">
        <v>0</v>
      </c>
      <c r="T105" s="23">
        <f>26519-350</f>
        <v>26169</v>
      </c>
      <c r="U105" s="19">
        <f>SUM(V105:AC105)</f>
        <v>32536</v>
      </c>
      <c r="V105" s="19">
        <v>0</v>
      </c>
      <c r="W105" s="23">
        <f>7913+114+350</f>
        <v>8377</v>
      </c>
      <c r="X105" s="23">
        <f>23589+570</f>
        <v>24159</v>
      </c>
      <c r="Y105" s="23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19">
        <f>SUM(AF105:BA105)</f>
        <v>0</v>
      </c>
      <c r="AF105" s="19">
        <v>0</v>
      </c>
      <c r="AG105" s="19">
        <v>0</v>
      </c>
      <c r="AH105" s="19">
        <v>0</v>
      </c>
      <c r="AI105" s="19"/>
      <c r="AJ105" s="19">
        <v>0</v>
      </c>
      <c r="AK105" s="19">
        <v>0</v>
      </c>
      <c r="AL105" s="19">
        <v>0</v>
      </c>
      <c r="AM105" s="19"/>
      <c r="AN105" s="19">
        <v>0</v>
      </c>
      <c r="AO105" s="19">
        <v>0</v>
      </c>
      <c r="AP105" s="19">
        <v>0</v>
      </c>
      <c r="AQ105" s="19"/>
      <c r="AR105" s="19">
        <v>0</v>
      </c>
      <c r="AS105" s="19">
        <v>0</v>
      </c>
      <c r="AT105" s="19">
        <v>0</v>
      </c>
      <c r="AU105" s="19"/>
      <c r="AV105" s="19"/>
      <c r="AW105" s="19">
        <v>0</v>
      </c>
      <c r="AX105" s="19">
        <v>0</v>
      </c>
      <c r="AY105" s="19">
        <v>0</v>
      </c>
      <c r="AZ105" s="19"/>
      <c r="BA105" s="19">
        <v>0</v>
      </c>
      <c r="BB105" s="19">
        <f>SUM(BC105+BG105+BJ105+BL105+BO105)</f>
        <v>0</v>
      </c>
      <c r="BC105" s="19">
        <f>SUM(BD105:BF105)</f>
        <v>0</v>
      </c>
      <c r="BD105" s="19">
        <v>0</v>
      </c>
      <c r="BE105" s="19">
        <v>0</v>
      </c>
      <c r="BF105" s="19">
        <v>0</v>
      </c>
      <c r="BG105" s="19">
        <f>SUM(BI105:BI105)</f>
        <v>0</v>
      </c>
      <c r="BH105" s="19">
        <v>0</v>
      </c>
      <c r="BI105" s="19">
        <v>0</v>
      </c>
      <c r="BJ105" s="19">
        <v>0</v>
      </c>
      <c r="BK105" s="19">
        <v>0</v>
      </c>
      <c r="BL105" s="19">
        <f t="shared" si="122"/>
        <v>0</v>
      </c>
      <c r="BM105" s="19">
        <v>0</v>
      </c>
      <c r="BN105" s="19">
        <v>0</v>
      </c>
      <c r="BO105" s="19">
        <f>SUM(BP105:BZ105)</f>
        <v>0</v>
      </c>
      <c r="BP105" s="19">
        <v>0</v>
      </c>
      <c r="BQ105" s="19">
        <v>0</v>
      </c>
      <c r="BR105" s="19">
        <v>0</v>
      </c>
      <c r="BS105" s="19">
        <v>0</v>
      </c>
      <c r="BT105" s="19">
        <v>0</v>
      </c>
      <c r="BU105" s="19">
        <v>0</v>
      </c>
      <c r="BV105" s="19">
        <v>0</v>
      </c>
      <c r="BW105" s="19">
        <v>0</v>
      </c>
      <c r="BX105" s="19">
        <v>0</v>
      </c>
      <c r="BY105" s="19">
        <v>0</v>
      </c>
      <c r="BZ105" s="19">
        <v>0</v>
      </c>
      <c r="CA105" s="19">
        <f>SUM(CB105+CT105)</f>
        <v>385797</v>
      </c>
      <c r="CB105" s="19">
        <f>SUM(CC105+CF105+CL105)</f>
        <v>385797</v>
      </c>
      <c r="CC105" s="19">
        <f t="shared" si="123"/>
        <v>0</v>
      </c>
      <c r="CD105" s="19">
        <v>0</v>
      </c>
      <c r="CE105" s="23"/>
      <c r="CF105" s="19">
        <f>SUM(CG105:CK105)</f>
        <v>385797</v>
      </c>
      <c r="CG105" s="19">
        <v>0</v>
      </c>
      <c r="CH105" s="19">
        <f>0+385797</f>
        <v>385797</v>
      </c>
      <c r="CI105" s="19">
        <v>0</v>
      </c>
      <c r="CJ105" s="19">
        <v>0</v>
      </c>
      <c r="CK105" s="19">
        <v>0</v>
      </c>
      <c r="CL105" s="19">
        <f>SUM(CM105:CQ105)</f>
        <v>0</v>
      </c>
      <c r="CM105" s="19">
        <v>0</v>
      </c>
      <c r="CN105" s="19">
        <v>0</v>
      </c>
      <c r="CO105" s="19">
        <v>0</v>
      </c>
      <c r="CP105" s="19"/>
      <c r="CQ105" s="19"/>
      <c r="CR105" s="19"/>
      <c r="CS105" s="19"/>
      <c r="CT105" s="19">
        <v>0</v>
      </c>
      <c r="CU105" s="19"/>
      <c r="CV105" s="19"/>
      <c r="CW105" s="19"/>
      <c r="CX105" s="19">
        <f t="shared" si="124"/>
        <v>0</v>
      </c>
      <c r="CY105" s="19">
        <f t="shared" si="125"/>
        <v>0</v>
      </c>
      <c r="CZ105" s="19">
        <v>0</v>
      </c>
      <c r="DA105" s="20">
        <v>0</v>
      </c>
    </row>
    <row r="106" spans="1:106" s="86" customFormat="1" ht="31.5" x14ac:dyDescent="0.25">
      <c r="A106" s="73" t="s">
        <v>202</v>
      </c>
      <c r="B106" s="25" t="s">
        <v>1</v>
      </c>
      <c r="C106" s="26" t="s">
        <v>203</v>
      </c>
      <c r="D106" s="27">
        <f t="shared" ref="D106:AT106" si="237">SUM(D107+D110+D112+D116)</f>
        <v>35905957</v>
      </c>
      <c r="E106" s="27">
        <f t="shared" si="237"/>
        <v>35905957</v>
      </c>
      <c r="F106" s="27">
        <f t="shared" si="237"/>
        <v>9348047</v>
      </c>
      <c r="G106" s="27">
        <f t="shared" si="237"/>
        <v>0</v>
      </c>
      <c r="H106" s="27">
        <f t="shared" si="237"/>
        <v>0</v>
      </c>
      <c r="I106" s="27">
        <f t="shared" si="237"/>
        <v>0</v>
      </c>
      <c r="J106" s="27">
        <f t="shared" si="237"/>
        <v>0</v>
      </c>
      <c r="K106" s="27">
        <f t="shared" si="237"/>
        <v>0</v>
      </c>
      <c r="L106" s="27">
        <f t="shared" si="237"/>
        <v>0</v>
      </c>
      <c r="M106" s="27">
        <f t="shared" si="237"/>
        <v>0</v>
      </c>
      <c r="N106" s="27">
        <f t="shared" si="237"/>
        <v>0</v>
      </c>
      <c r="O106" s="27">
        <f t="shared" si="237"/>
        <v>0</v>
      </c>
      <c r="P106" s="27">
        <f t="shared" si="237"/>
        <v>0</v>
      </c>
      <c r="Q106" s="27">
        <f t="shared" si="237"/>
        <v>0</v>
      </c>
      <c r="R106" s="27">
        <f t="shared" si="237"/>
        <v>0</v>
      </c>
      <c r="S106" s="27">
        <f t="shared" si="237"/>
        <v>0</v>
      </c>
      <c r="T106" s="27">
        <f t="shared" si="237"/>
        <v>0</v>
      </c>
      <c r="U106" s="27">
        <f t="shared" si="237"/>
        <v>0</v>
      </c>
      <c r="V106" s="27">
        <f t="shared" si="237"/>
        <v>0</v>
      </c>
      <c r="W106" s="27">
        <f t="shared" si="237"/>
        <v>0</v>
      </c>
      <c r="X106" s="27">
        <f t="shared" si="237"/>
        <v>0</v>
      </c>
      <c r="Y106" s="27">
        <f t="shared" si="237"/>
        <v>0</v>
      </c>
      <c r="Z106" s="27">
        <f t="shared" si="237"/>
        <v>0</v>
      </c>
      <c r="AA106" s="27">
        <f t="shared" si="237"/>
        <v>0</v>
      </c>
      <c r="AB106" s="27">
        <f t="shared" si="237"/>
        <v>0</v>
      </c>
      <c r="AC106" s="27">
        <f t="shared" si="237"/>
        <v>0</v>
      </c>
      <c r="AD106" s="27">
        <f t="shared" ref="AD106" si="238">SUM(AD107+AD110+AD112+AD116)</f>
        <v>0</v>
      </c>
      <c r="AE106" s="27">
        <f t="shared" si="237"/>
        <v>9348047</v>
      </c>
      <c r="AF106" s="27">
        <f t="shared" si="237"/>
        <v>0</v>
      </c>
      <c r="AG106" s="27">
        <f t="shared" si="237"/>
        <v>0</v>
      </c>
      <c r="AH106" s="27">
        <f t="shared" si="237"/>
        <v>0</v>
      </c>
      <c r="AI106" s="27">
        <f t="shared" si="237"/>
        <v>0</v>
      </c>
      <c r="AJ106" s="27">
        <f t="shared" si="237"/>
        <v>0</v>
      </c>
      <c r="AK106" s="27">
        <f t="shared" si="237"/>
        <v>0</v>
      </c>
      <c r="AL106" s="27">
        <f t="shared" si="237"/>
        <v>0</v>
      </c>
      <c r="AM106" s="27">
        <f t="shared" si="237"/>
        <v>0</v>
      </c>
      <c r="AN106" s="27">
        <f t="shared" si="237"/>
        <v>0</v>
      </c>
      <c r="AO106" s="27">
        <f t="shared" si="237"/>
        <v>0</v>
      </c>
      <c r="AP106" s="27">
        <f t="shared" si="237"/>
        <v>0</v>
      </c>
      <c r="AQ106" s="27"/>
      <c r="AR106" s="27">
        <f t="shared" si="237"/>
        <v>0</v>
      </c>
      <c r="AS106" s="27">
        <f t="shared" si="237"/>
        <v>0</v>
      </c>
      <c r="AT106" s="27">
        <f t="shared" si="237"/>
        <v>0</v>
      </c>
      <c r="AU106" s="27"/>
      <c r="AV106" s="27"/>
      <c r="AW106" s="27">
        <f>SUM(AW107+AW110+AW112+AW116)</f>
        <v>0</v>
      </c>
      <c r="AX106" s="27">
        <f>SUM(AX107+AX110+AX112+AX116)</f>
        <v>0</v>
      </c>
      <c r="AY106" s="27">
        <f>SUM(AY107+AY110+AY112+AY116)</f>
        <v>0</v>
      </c>
      <c r="AZ106" s="27"/>
      <c r="BA106" s="27">
        <f t="shared" ref="BA106:CO106" si="239">SUM(BA107+BA110+BA112+BA116)</f>
        <v>9348047</v>
      </c>
      <c r="BB106" s="27">
        <f t="shared" si="239"/>
        <v>26557910</v>
      </c>
      <c r="BC106" s="27">
        <f t="shared" si="239"/>
        <v>24307091</v>
      </c>
      <c r="BD106" s="27">
        <f t="shared" si="239"/>
        <v>0</v>
      </c>
      <c r="BE106" s="27">
        <f t="shared" si="239"/>
        <v>5582989</v>
      </c>
      <c r="BF106" s="27">
        <f t="shared" si="239"/>
        <v>18724102</v>
      </c>
      <c r="BG106" s="27">
        <f t="shared" si="239"/>
        <v>0</v>
      </c>
      <c r="BH106" s="27">
        <f t="shared" si="239"/>
        <v>0</v>
      </c>
      <c r="BI106" s="27">
        <f t="shared" si="239"/>
        <v>0</v>
      </c>
      <c r="BJ106" s="27">
        <f t="shared" si="239"/>
        <v>0</v>
      </c>
      <c r="BK106" s="27">
        <f t="shared" ref="BK106" si="240">SUM(BK107+BK110+BK112+BK116)</f>
        <v>0</v>
      </c>
      <c r="BL106" s="27">
        <f t="shared" si="239"/>
        <v>2250819</v>
      </c>
      <c r="BM106" s="27">
        <f t="shared" si="239"/>
        <v>0</v>
      </c>
      <c r="BN106" s="27">
        <f t="shared" si="239"/>
        <v>2250819</v>
      </c>
      <c r="BO106" s="27">
        <f t="shared" si="239"/>
        <v>0</v>
      </c>
      <c r="BP106" s="27">
        <f t="shared" si="239"/>
        <v>0</v>
      </c>
      <c r="BQ106" s="27">
        <f t="shared" si="239"/>
        <v>0</v>
      </c>
      <c r="BR106" s="27">
        <f t="shared" si="239"/>
        <v>0</v>
      </c>
      <c r="BS106" s="27">
        <f t="shared" si="239"/>
        <v>0</v>
      </c>
      <c r="BT106" s="27">
        <f t="shared" si="239"/>
        <v>0</v>
      </c>
      <c r="BU106" s="27">
        <f t="shared" si="239"/>
        <v>0</v>
      </c>
      <c r="BV106" s="27">
        <f t="shared" si="239"/>
        <v>0</v>
      </c>
      <c r="BW106" s="27">
        <f t="shared" si="239"/>
        <v>0</v>
      </c>
      <c r="BX106" s="27">
        <f t="shared" si="239"/>
        <v>0</v>
      </c>
      <c r="BY106" s="27">
        <f t="shared" si="239"/>
        <v>0</v>
      </c>
      <c r="BZ106" s="27">
        <f t="shared" si="239"/>
        <v>0</v>
      </c>
      <c r="CA106" s="27">
        <f t="shared" si="239"/>
        <v>0</v>
      </c>
      <c r="CB106" s="27">
        <f t="shared" si="239"/>
        <v>0</v>
      </c>
      <c r="CC106" s="27">
        <f t="shared" si="239"/>
        <v>0</v>
      </c>
      <c r="CD106" s="27">
        <f t="shared" si="239"/>
        <v>0</v>
      </c>
      <c r="CE106" s="27">
        <f t="shared" si="239"/>
        <v>0</v>
      </c>
      <c r="CF106" s="27">
        <f t="shared" si="239"/>
        <v>0</v>
      </c>
      <c r="CG106" s="27">
        <f t="shared" si="239"/>
        <v>0</v>
      </c>
      <c r="CH106" s="27">
        <f t="shared" si="239"/>
        <v>0</v>
      </c>
      <c r="CI106" s="27">
        <f t="shared" si="239"/>
        <v>0</v>
      </c>
      <c r="CJ106" s="27">
        <f t="shared" si="239"/>
        <v>0</v>
      </c>
      <c r="CK106" s="27">
        <f t="shared" si="239"/>
        <v>0</v>
      </c>
      <c r="CL106" s="27">
        <f t="shared" si="239"/>
        <v>0</v>
      </c>
      <c r="CM106" s="27">
        <f t="shared" si="239"/>
        <v>0</v>
      </c>
      <c r="CN106" s="27">
        <f t="shared" si="239"/>
        <v>0</v>
      </c>
      <c r="CO106" s="27">
        <f t="shared" si="239"/>
        <v>0</v>
      </c>
      <c r="CP106" s="27"/>
      <c r="CQ106" s="27"/>
      <c r="CR106" s="27"/>
      <c r="CS106" s="27"/>
      <c r="CT106" s="27">
        <f>SUM(CT107+CT110+CT112+CT116)</f>
        <v>0</v>
      </c>
      <c r="CU106" s="27"/>
      <c r="CV106" s="27"/>
      <c r="CW106" s="27"/>
      <c r="CX106" s="27">
        <f>SUM(CX107+CX110+CX112+CX116)</f>
        <v>0</v>
      </c>
      <c r="CY106" s="27">
        <f>SUM(CY107+CY110+CY112+CY116)</f>
        <v>0</v>
      </c>
      <c r="CZ106" s="27">
        <f>SUM(CZ107+CZ110+CZ112+CZ116)</f>
        <v>0</v>
      </c>
      <c r="DA106" s="55">
        <f>SUM(DA107+DA110+DA112+DA116)</f>
        <v>0</v>
      </c>
      <c r="DB106" s="85"/>
    </row>
    <row r="107" spans="1:106" s="86" customFormat="1" ht="31.5" x14ac:dyDescent="0.25">
      <c r="A107" s="71" t="s">
        <v>204</v>
      </c>
      <c r="B107" s="16" t="s">
        <v>1</v>
      </c>
      <c r="C107" s="17" t="s">
        <v>582</v>
      </c>
      <c r="D107" s="18">
        <f>SUM(D108:D109)</f>
        <v>7833808</v>
      </c>
      <c r="E107" s="18">
        <f t="shared" ref="E107:BQ107" si="241">SUM(E108:E109)</f>
        <v>7833808</v>
      </c>
      <c r="F107" s="18">
        <f t="shared" si="241"/>
        <v>0</v>
      </c>
      <c r="G107" s="18">
        <f t="shared" si="241"/>
        <v>0</v>
      </c>
      <c r="H107" s="18">
        <f t="shared" si="241"/>
        <v>0</v>
      </c>
      <c r="I107" s="18">
        <f t="shared" si="241"/>
        <v>0</v>
      </c>
      <c r="J107" s="18">
        <f t="shared" si="241"/>
        <v>0</v>
      </c>
      <c r="K107" s="18">
        <f t="shared" si="241"/>
        <v>0</v>
      </c>
      <c r="L107" s="18">
        <f t="shared" si="241"/>
        <v>0</v>
      </c>
      <c r="M107" s="18">
        <f t="shared" si="241"/>
        <v>0</v>
      </c>
      <c r="N107" s="18">
        <f t="shared" si="241"/>
        <v>0</v>
      </c>
      <c r="O107" s="18">
        <f t="shared" si="241"/>
        <v>0</v>
      </c>
      <c r="P107" s="18">
        <f t="shared" si="241"/>
        <v>0</v>
      </c>
      <c r="Q107" s="18">
        <f t="shared" si="241"/>
        <v>0</v>
      </c>
      <c r="R107" s="18">
        <f t="shared" si="241"/>
        <v>0</v>
      </c>
      <c r="S107" s="18">
        <f t="shared" si="241"/>
        <v>0</v>
      </c>
      <c r="T107" s="18">
        <f t="shared" si="241"/>
        <v>0</v>
      </c>
      <c r="U107" s="18">
        <f t="shared" si="241"/>
        <v>0</v>
      </c>
      <c r="V107" s="18">
        <f t="shared" si="241"/>
        <v>0</v>
      </c>
      <c r="W107" s="18">
        <f t="shared" si="241"/>
        <v>0</v>
      </c>
      <c r="X107" s="18">
        <f t="shared" si="241"/>
        <v>0</v>
      </c>
      <c r="Y107" s="18">
        <f t="shared" si="241"/>
        <v>0</v>
      </c>
      <c r="Z107" s="18">
        <f t="shared" si="241"/>
        <v>0</v>
      </c>
      <c r="AA107" s="18">
        <f t="shared" si="241"/>
        <v>0</v>
      </c>
      <c r="AB107" s="18">
        <f t="shared" si="241"/>
        <v>0</v>
      </c>
      <c r="AC107" s="18">
        <f t="shared" si="241"/>
        <v>0</v>
      </c>
      <c r="AD107" s="18">
        <f t="shared" ref="AD107" si="242">SUM(AD108:AD109)</f>
        <v>0</v>
      </c>
      <c r="AE107" s="18">
        <f t="shared" si="241"/>
        <v>0</v>
      </c>
      <c r="AF107" s="18">
        <f t="shared" si="241"/>
        <v>0</v>
      </c>
      <c r="AG107" s="18">
        <f t="shared" si="241"/>
        <v>0</v>
      </c>
      <c r="AH107" s="18">
        <f t="shared" si="241"/>
        <v>0</v>
      </c>
      <c r="AI107" s="18">
        <f t="shared" si="241"/>
        <v>0</v>
      </c>
      <c r="AJ107" s="18">
        <f t="shared" si="241"/>
        <v>0</v>
      </c>
      <c r="AK107" s="18">
        <f t="shared" si="241"/>
        <v>0</v>
      </c>
      <c r="AL107" s="18">
        <f t="shared" si="241"/>
        <v>0</v>
      </c>
      <c r="AM107" s="18">
        <f t="shared" si="241"/>
        <v>0</v>
      </c>
      <c r="AN107" s="18">
        <f t="shared" si="241"/>
        <v>0</v>
      </c>
      <c r="AO107" s="18">
        <f t="shared" si="241"/>
        <v>0</v>
      </c>
      <c r="AP107" s="18">
        <f t="shared" si="241"/>
        <v>0</v>
      </c>
      <c r="AQ107" s="18"/>
      <c r="AR107" s="18">
        <f t="shared" si="241"/>
        <v>0</v>
      </c>
      <c r="AS107" s="18">
        <f t="shared" si="241"/>
        <v>0</v>
      </c>
      <c r="AT107" s="18">
        <f t="shared" si="241"/>
        <v>0</v>
      </c>
      <c r="AU107" s="18">
        <f t="shared" si="241"/>
        <v>0</v>
      </c>
      <c r="AV107" s="18">
        <f t="shared" si="241"/>
        <v>0</v>
      </c>
      <c r="AW107" s="18">
        <f t="shared" si="241"/>
        <v>0</v>
      </c>
      <c r="AX107" s="18">
        <f t="shared" si="241"/>
        <v>0</v>
      </c>
      <c r="AY107" s="18">
        <f t="shared" si="241"/>
        <v>0</v>
      </c>
      <c r="AZ107" s="18"/>
      <c r="BA107" s="18">
        <f t="shared" si="241"/>
        <v>0</v>
      </c>
      <c r="BB107" s="18">
        <f t="shared" si="241"/>
        <v>7833808</v>
      </c>
      <c r="BC107" s="18">
        <f t="shared" si="241"/>
        <v>5582989</v>
      </c>
      <c r="BD107" s="18">
        <f t="shared" si="241"/>
        <v>0</v>
      </c>
      <c r="BE107" s="18">
        <f t="shared" si="241"/>
        <v>5582989</v>
      </c>
      <c r="BF107" s="18">
        <f t="shared" si="241"/>
        <v>0</v>
      </c>
      <c r="BG107" s="18">
        <f t="shared" si="241"/>
        <v>0</v>
      </c>
      <c r="BH107" s="18">
        <f t="shared" si="241"/>
        <v>0</v>
      </c>
      <c r="BI107" s="18">
        <f t="shared" si="241"/>
        <v>0</v>
      </c>
      <c r="BJ107" s="18">
        <f t="shared" si="241"/>
        <v>0</v>
      </c>
      <c r="BK107" s="18">
        <f t="shared" ref="BK107" si="243">SUM(BK108:BK109)</f>
        <v>0</v>
      </c>
      <c r="BL107" s="18">
        <f t="shared" si="241"/>
        <v>2250819</v>
      </c>
      <c r="BM107" s="18">
        <f t="shared" si="241"/>
        <v>0</v>
      </c>
      <c r="BN107" s="18">
        <f t="shared" si="241"/>
        <v>2250819</v>
      </c>
      <c r="BO107" s="18">
        <f t="shared" si="241"/>
        <v>0</v>
      </c>
      <c r="BP107" s="18">
        <f t="shared" si="241"/>
        <v>0</v>
      </c>
      <c r="BQ107" s="18">
        <f t="shared" si="241"/>
        <v>0</v>
      </c>
      <c r="BR107" s="18">
        <f t="shared" ref="BR107:DA107" si="244">SUM(BR108:BR109)</f>
        <v>0</v>
      </c>
      <c r="BS107" s="18">
        <f t="shared" si="244"/>
        <v>0</v>
      </c>
      <c r="BT107" s="18">
        <f t="shared" si="244"/>
        <v>0</v>
      </c>
      <c r="BU107" s="18">
        <f t="shared" si="244"/>
        <v>0</v>
      </c>
      <c r="BV107" s="18">
        <f t="shared" si="244"/>
        <v>0</v>
      </c>
      <c r="BW107" s="18">
        <f t="shared" si="244"/>
        <v>0</v>
      </c>
      <c r="BX107" s="18">
        <f t="shared" si="244"/>
        <v>0</v>
      </c>
      <c r="BY107" s="18">
        <f t="shared" si="244"/>
        <v>0</v>
      </c>
      <c r="BZ107" s="18">
        <f t="shared" si="244"/>
        <v>0</v>
      </c>
      <c r="CA107" s="18">
        <f t="shared" si="244"/>
        <v>0</v>
      </c>
      <c r="CB107" s="18">
        <f t="shared" si="244"/>
        <v>0</v>
      </c>
      <c r="CC107" s="18">
        <f t="shared" si="244"/>
        <v>0</v>
      </c>
      <c r="CD107" s="18">
        <f t="shared" si="244"/>
        <v>0</v>
      </c>
      <c r="CE107" s="18">
        <f t="shared" si="244"/>
        <v>0</v>
      </c>
      <c r="CF107" s="18">
        <f t="shared" si="244"/>
        <v>0</v>
      </c>
      <c r="CG107" s="18">
        <f t="shared" si="244"/>
        <v>0</v>
      </c>
      <c r="CH107" s="18">
        <f t="shared" ref="CH107:CI107" si="245">SUM(CH108:CH109)</f>
        <v>0</v>
      </c>
      <c r="CI107" s="18">
        <f t="shared" si="245"/>
        <v>0</v>
      </c>
      <c r="CJ107" s="18">
        <f t="shared" si="244"/>
        <v>0</v>
      </c>
      <c r="CK107" s="18">
        <f t="shared" ref="CK107" si="246">SUM(CK108:CK109)</f>
        <v>0</v>
      </c>
      <c r="CL107" s="18">
        <f t="shared" si="244"/>
        <v>0</v>
      </c>
      <c r="CM107" s="18">
        <f t="shared" si="244"/>
        <v>0</v>
      </c>
      <c r="CN107" s="18">
        <f t="shared" ref="CN107" si="247">SUM(CN108:CN109)</f>
        <v>0</v>
      </c>
      <c r="CO107" s="18">
        <f t="shared" si="244"/>
        <v>0</v>
      </c>
      <c r="CP107" s="18">
        <f t="shared" ref="CP107" si="248">SUM(CP108:CP109)</f>
        <v>0</v>
      </c>
      <c r="CQ107" s="18">
        <f t="shared" si="244"/>
        <v>0</v>
      </c>
      <c r="CR107" s="18"/>
      <c r="CS107" s="18"/>
      <c r="CT107" s="18">
        <f t="shared" si="244"/>
        <v>0</v>
      </c>
      <c r="CU107" s="18"/>
      <c r="CV107" s="18"/>
      <c r="CW107" s="18"/>
      <c r="CX107" s="18">
        <f t="shared" si="244"/>
        <v>0</v>
      </c>
      <c r="CY107" s="18">
        <f t="shared" si="244"/>
        <v>0</v>
      </c>
      <c r="CZ107" s="18">
        <f t="shared" si="244"/>
        <v>0</v>
      </c>
      <c r="DA107" s="46">
        <f t="shared" si="244"/>
        <v>0</v>
      </c>
      <c r="DB107" s="85"/>
    </row>
    <row r="108" spans="1:106" ht="15.75" x14ac:dyDescent="0.25">
      <c r="A108" s="72" t="s">
        <v>1</v>
      </c>
      <c r="B108" s="21" t="s">
        <v>80</v>
      </c>
      <c r="C108" s="22" t="s">
        <v>205</v>
      </c>
      <c r="D108" s="18">
        <f>SUM(E108+CA108+CX108)</f>
        <v>5582989</v>
      </c>
      <c r="E108" s="19">
        <f>SUM(F108+BB108)</f>
        <v>5582989</v>
      </c>
      <c r="F108" s="19">
        <f t="shared" ref="F108:F109" si="249">SUM(G108+H108+I108+P108+S108+T108+U108+AE108)</f>
        <v>0</v>
      </c>
      <c r="G108" s="19">
        <v>0</v>
      </c>
      <c r="H108" s="19">
        <v>0</v>
      </c>
      <c r="I108" s="19">
        <f t="shared" si="120"/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f t="shared" si="121"/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f>SUM(V108:AC108)</f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f>SUM(AF108:BA108)</f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/>
      <c r="AR108" s="19">
        <v>0</v>
      </c>
      <c r="AS108" s="19">
        <v>0</v>
      </c>
      <c r="AT108" s="19">
        <v>0</v>
      </c>
      <c r="AU108" s="19"/>
      <c r="AV108" s="19"/>
      <c r="AW108" s="19">
        <v>0</v>
      </c>
      <c r="AX108" s="19">
        <v>0</v>
      </c>
      <c r="AY108" s="19">
        <v>0</v>
      </c>
      <c r="AZ108" s="19"/>
      <c r="BA108" s="19">
        <v>0</v>
      </c>
      <c r="BB108" s="19">
        <f>SUM(BC108+BG108+BJ108+BL108+BO108)</f>
        <v>5582989</v>
      </c>
      <c r="BC108" s="19">
        <f>SUM(BD108:BF108)</f>
        <v>5582989</v>
      </c>
      <c r="BD108" s="19">
        <v>0</v>
      </c>
      <c r="BE108" s="23">
        <v>5582989</v>
      </c>
      <c r="BF108" s="19">
        <v>0</v>
      </c>
      <c r="BG108" s="19">
        <f>SUM(BI108:BI108)</f>
        <v>0</v>
      </c>
      <c r="BH108" s="19">
        <v>0</v>
      </c>
      <c r="BI108" s="19">
        <v>0</v>
      </c>
      <c r="BJ108" s="19">
        <v>0</v>
      </c>
      <c r="BK108" s="19">
        <v>0</v>
      </c>
      <c r="BL108" s="19">
        <f t="shared" si="122"/>
        <v>0</v>
      </c>
      <c r="BM108" s="19">
        <v>0</v>
      </c>
      <c r="BN108" s="19">
        <v>0</v>
      </c>
      <c r="BO108" s="19">
        <f>SUM(BP108:BZ108)</f>
        <v>0</v>
      </c>
      <c r="BP108" s="19">
        <v>0</v>
      </c>
      <c r="BQ108" s="19">
        <v>0</v>
      </c>
      <c r="BR108" s="19">
        <v>0</v>
      </c>
      <c r="BS108" s="19">
        <v>0</v>
      </c>
      <c r="BT108" s="19">
        <v>0</v>
      </c>
      <c r="BU108" s="19">
        <v>0</v>
      </c>
      <c r="BV108" s="19">
        <v>0</v>
      </c>
      <c r="BW108" s="19">
        <v>0</v>
      </c>
      <c r="BX108" s="19">
        <v>0</v>
      </c>
      <c r="BY108" s="19">
        <v>0</v>
      </c>
      <c r="BZ108" s="19">
        <v>0</v>
      </c>
      <c r="CA108" s="19">
        <f>SUM(CB108+CT108)</f>
        <v>0</v>
      </c>
      <c r="CB108" s="19">
        <f>SUM(CC108+CF108+CL108)</f>
        <v>0</v>
      </c>
      <c r="CC108" s="19">
        <f t="shared" si="123"/>
        <v>0</v>
      </c>
      <c r="CD108" s="19">
        <v>0</v>
      </c>
      <c r="CE108" s="19">
        <v>0</v>
      </c>
      <c r="CF108" s="19">
        <f>SUM(CG108:CK108)</f>
        <v>0</v>
      </c>
      <c r="CG108" s="19">
        <v>0</v>
      </c>
      <c r="CH108" s="19">
        <v>0</v>
      </c>
      <c r="CI108" s="19">
        <v>0</v>
      </c>
      <c r="CJ108" s="19">
        <v>0</v>
      </c>
      <c r="CK108" s="19">
        <v>0</v>
      </c>
      <c r="CL108" s="19">
        <f>SUM(CM108:CQ108)</f>
        <v>0</v>
      </c>
      <c r="CM108" s="19">
        <v>0</v>
      </c>
      <c r="CN108" s="19">
        <v>0</v>
      </c>
      <c r="CO108" s="19">
        <v>0</v>
      </c>
      <c r="CP108" s="19"/>
      <c r="CQ108" s="19"/>
      <c r="CR108" s="19"/>
      <c r="CS108" s="19"/>
      <c r="CT108" s="19">
        <v>0</v>
      </c>
      <c r="CU108" s="19"/>
      <c r="CV108" s="19"/>
      <c r="CW108" s="19"/>
      <c r="CX108" s="19">
        <f t="shared" si="124"/>
        <v>0</v>
      </c>
      <c r="CY108" s="19">
        <f t="shared" si="125"/>
        <v>0</v>
      </c>
      <c r="CZ108" s="19">
        <v>0</v>
      </c>
      <c r="DA108" s="20">
        <v>0</v>
      </c>
    </row>
    <row r="109" spans="1:106" ht="31.5" x14ac:dyDescent="0.25">
      <c r="A109" s="72" t="s">
        <v>1</v>
      </c>
      <c r="B109" s="21" t="s">
        <v>80</v>
      </c>
      <c r="C109" s="22" t="s">
        <v>469</v>
      </c>
      <c r="D109" s="18">
        <f>SUM(E109+CA109+CX109)</f>
        <v>2250819</v>
      </c>
      <c r="E109" s="19">
        <f>SUM(F109+BB109)</f>
        <v>2250819</v>
      </c>
      <c r="F109" s="19">
        <f t="shared" si="249"/>
        <v>0</v>
      </c>
      <c r="G109" s="19">
        <v>0</v>
      </c>
      <c r="H109" s="19">
        <v>0</v>
      </c>
      <c r="I109" s="19">
        <f t="shared" ref="I109" si="250">SUM(J109:O109)</f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f t="shared" ref="P109" si="251">SUM(Q109:R109)</f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f>SUM(V109:AC109)</f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f>SUM(AF109:BA109)</f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19">
        <v>0</v>
      </c>
      <c r="AP109" s="19">
        <v>0</v>
      </c>
      <c r="AQ109" s="19"/>
      <c r="AR109" s="19">
        <v>0</v>
      </c>
      <c r="AS109" s="19">
        <v>0</v>
      </c>
      <c r="AT109" s="19">
        <v>0</v>
      </c>
      <c r="AU109" s="19"/>
      <c r="AV109" s="19"/>
      <c r="AW109" s="19">
        <v>0</v>
      </c>
      <c r="AX109" s="19">
        <v>0</v>
      </c>
      <c r="AY109" s="19">
        <v>0</v>
      </c>
      <c r="AZ109" s="19"/>
      <c r="BA109" s="19">
        <v>0</v>
      </c>
      <c r="BB109" s="19">
        <f>SUM(BC109+BG109+BJ109+BL109+BO109)</f>
        <v>2250819</v>
      </c>
      <c r="BC109" s="19">
        <f>SUM(BD109:BF109)</f>
        <v>0</v>
      </c>
      <c r="BD109" s="19">
        <v>0</v>
      </c>
      <c r="BE109" s="19"/>
      <c r="BF109" s="19">
        <v>0</v>
      </c>
      <c r="BG109" s="19">
        <f>SUM(BI109:BI109)</f>
        <v>0</v>
      </c>
      <c r="BH109" s="19">
        <v>0</v>
      </c>
      <c r="BI109" s="19">
        <v>0</v>
      </c>
      <c r="BJ109" s="19">
        <v>0</v>
      </c>
      <c r="BK109" s="19">
        <v>0</v>
      </c>
      <c r="BL109" s="19">
        <f>SUM(BM109:BN109)</f>
        <v>2250819</v>
      </c>
      <c r="BM109" s="19">
        <v>0</v>
      </c>
      <c r="BN109" s="23">
        <v>2250819</v>
      </c>
      <c r="BO109" s="19">
        <f>SUM(BP109:BZ109)</f>
        <v>0</v>
      </c>
      <c r="BP109" s="19">
        <v>0</v>
      </c>
      <c r="BQ109" s="19">
        <v>0</v>
      </c>
      <c r="BR109" s="19">
        <v>0</v>
      </c>
      <c r="BS109" s="19">
        <v>0</v>
      </c>
      <c r="BT109" s="19">
        <v>0</v>
      </c>
      <c r="BU109" s="19">
        <v>0</v>
      </c>
      <c r="BV109" s="19">
        <v>0</v>
      </c>
      <c r="BW109" s="19">
        <v>0</v>
      </c>
      <c r="BX109" s="19">
        <v>0</v>
      </c>
      <c r="BY109" s="19">
        <v>0</v>
      </c>
      <c r="BZ109" s="19">
        <v>0</v>
      </c>
      <c r="CA109" s="19">
        <f>SUM(CB109+CT109)</f>
        <v>0</v>
      </c>
      <c r="CB109" s="19">
        <f>SUM(CC109+CF109+CL109)</f>
        <v>0</v>
      </c>
      <c r="CC109" s="19">
        <f t="shared" ref="CC109" si="252">SUM(CD109:CE109)</f>
        <v>0</v>
      </c>
      <c r="CD109" s="19">
        <v>0</v>
      </c>
      <c r="CE109" s="19">
        <v>0</v>
      </c>
      <c r="CF109" s="19">
        <f>SUM(CG109:CK109)</f>
        <v>0</v>
      </c>
      <c r="CG109" s="19">
        <v>0</v>
      </c>
      <c r="CH109" s="19">
        <v>0</v>
      </c>
      <c r="CI109" s="19">
        <v>0</v>
      </c>
      <c r="CJ109" s="19">
        <v>0</v>
      </c>
      <c r="CK109" s="19">
        <v>0</v>
      </c>
      <c r="CL109" s="19">
        <f>SUM(CM109:CQ109)</f>
        <v>0</v>
      </c>
      <c r="CM109" s="19">
        <v>0</v>
      </c>
      <c r="CN109" s="19">
        <v>0</v>
      </c>
      <c r="CO109" s="19">
        <v>0</v>
      </c>
      <c r="CP109" s="19"/>
      <c r="CQ109" s="19"/>
      <c r="CR109" s="19"/>
      <c r="CS109" s="19"/>
      <c r="CT109" s="19">
        <v>0</v>
      </c>
      <c r="CU109" s="19"/>
      <c r="CV109" s="19"/>
      <c r="CW109" s="19"/>
      <c r="CX109" s="19">
        <f t="shared" ref="CX109" si="253">SUM(CY109)</f>
        <v>0</v>
      </c>
      <c r="CY109" s="19">
        <f t="shared" ref="CY109" si="254">SUM(CZ109:DA109)</f>
        <v>0</v>
      </c>
      <c r="CZ109" s="19">
        <v>0</v>
      </c>
      <c r="DA109" s="20">
        <v>0</v>
      </c>
    </row>
    <row r="110" spans="1:106" s="86" customFormat="1" ht="15.75" x14ac:dyDescent="0.25">
      <c r="A110" s="71" t="s">
        <v>206</v>
      </c>
      <c r="B110" s="16" t="s">
        <v>1</v>
      </c>
      <c r="C110" s="17" t="s">
        <v>207</v>
      </c>
      <c r="D110" s="18">
        <f t="shared" ref="D110:AY110" si="255">SUM(D111:D111)</f>
        <v>18724102</v>
      </c>
      <c r="E110" s="18">
        <f t="shared" si="255"/>
        <v>18724102</v>
      </c>
      <c r="F110" s="18">
        <f t="shared" si="255"/>
        <v>0</v>
      </c>
      <c r="G110" s="18">
        <f t="shared" si="255"/>
        <v>0</v>
      </c>
      <c r="H110" s="18">
        <f t="shared" si="255"/>
        <v>0</v>
      </c>
      <c r="I110" s="18">
        <f t="shared" si="255"/>
        <v>0</v>
      </c>
      <c r="J110" s="18">
        <f t="shared" si="255"/>
        <v>0</v>
      </c>
      <c r="K110" s="18">
        <f t="shared" si="255"/>
        <v>0</v>
      </c>
      <c r="L110" s="18">
        <f t="shared" si="255"/>
        <v>0</v>
      </c>
      <c r="M110" s="18">
        <f t="shared" si="255"/>
        <v>0</v>
      </c>
      <c r="N110" s="18">
        <f t="shared" si="255"/>
        <v>0</v>
      </c>
      <c r="O110" s="18">
        <f t="shared" si="255"/>
        <v>0</v>
      </c>
      <c r="P110" s="18">
        <f t="shared" si="255"/>
        <v>0</v>
      </c>
      <c r="Q110" s="18">
        <f t="shared" si="255"/>
        <v>0</v>
      </c>
      <c r="R110" s="18">
        <f t="shared" si="255"/>
        <v>0</v>
      </c>
      <c r="S110" s="18">
        <f t="shared" si="255"/>
        <v>0</v>
      </c>
      <c r="T110" s="18">
        <f t="shared" si="255"/>
        <v>0</v>
      </c>
      <c r="U110" s="18">
        <f t="shared" si="255"/>
        <v>0</v>
      </c>
      <c r="V110" s="18">
        <f t="shared" si="255"/>
        <v>0</v>
      </c>
      <c r="W110" s="18">
        <f t="shared" si="255"/>
        <v>0</v>
      </c>
      <c r="X110" s="18">
        <f t="shared" si="255"/>
        <v>0</v>
      </c>
      <c r="Y110" s="18">
        <f t="shared" si="255"/>
        <v>0</v>
      </c>
      <c r="Z110" s="18">
        <f t="shared" si="255"/>
        <v>0</v>
      </c>
      <c r="AA110" s="18">
        <f t="shared" si="255"/>
        <v>0</v>
      </c>
      <c r="AB110" s="18">
        <f t="shared" si="255"/>
        <v>0</v>
      </c>
      <c r="AC110" s="18">
        <f t="shared" si="255"/>
        <v>0</v>
      </c>
      <c r="AD110" s="18">
        <f t="shared" si="255"/>
        <v>0</v>
      </c>
      <c r="AE110" s="18">
        <f t="shared" si="255"/>
        <v>0</v>
      </c>
      <c r="AF110" s="18">
        <f t="shared" si="255"/>
        <v>0</v>
      </c>
      <c r="AG110" s="18">
        <f t="shared" si="255"/>
        <v>0</v>
      </c>
      <c r="AH110" s="18">
        <f t="shared" si="255"/>
        <v>0</v>
      </c>
      <c r="AI110" s="18">
        <f t="shared" si="255"/>
        <v>0</v>
      </c>
      <c r="AJ110" s="18">
        <f t="shared" si="255"/>
        <v>0</v>
      </c>
      <c r="AK110" s="18">
        <f t="shared" si="255"/>
        <v>0</v>
      </c>
      <c r="AL110" s="18">
        <f t="shared" si="255"/>
        <v>0</v>
      </c>
      <c r="AM110" s="18">
        <f t="shared" si="255"/>
        <v>0</v>
      </c>
      <c r="AN110" s="18">
        <f t="shared" si="255"/>
        <v>0</v>
      </c>
      <c r="AO110" s="18">
        <f t="shared" si="255"/>
        <v>0</v>
      </c>
      <c r="AP110" s="18">
        <f t="shared" si="255"/>
        <v>0</v>
      </c>
      <c r="AQ110" s="18"/>
      <c r="AR110" s="18">
        <f t="shared" si="255"/>
        <v>0</v>
      </c>
      <c r="AS110" s="18">
        <f t="shared" si="255"/>
        <v>0</v>
      </c>
      <c r="AT110" s="18">
        <f t="shared" si="255"/>
        <v>0</v>
      </c>
      <c r="AU110" s="18">
        <f t="shared" si="255"/>
        <v>0</v>
      </c>
      <c r="AV110" s="18">
        <f t="shared" si="255"/>
        <v>0</v>
      </c>
      <c r="AW110" s="18">
        <f t="shared" si="255"/>
        <v>0</v>
      </c>
      <c r="AX110" s="18">
        <f t="shared" si="255"/>
        <v>0</v>
      </c>
      <c r="AY110" s="18">
        <f t="shared" si="255"/>
        <v>0</v>
      </c>
      <c r="AZ110" s="18"/>
      <c r="BA110" s="18">
        <f t="shared" ref="BA110:DA110" si="256">SUM(BA111:BA111)</f>
        <v>0</v>
      </c>
      <c r="BB110" s="18">
        <f t="shared" si="256"/>
        <v>18724102</v>
      </c>
      <c r="BC110" s="18">
        <f t="shared" si="256"/>
        <v>18724102</v>
      </c>
      <c r="BD110" s="18">
        <f t="shared" si="256"/>
        <v>0</v>
      </c>
      <c r="BE110" s="18">
        <f t="shared" si="256"/>
        <v>0</v>
      </c>
      <c r="BF110" s="18">
        <f t="shared" si="256"/>
        <v>18724102</v>
      </c>
      <c r="BG110" s="18">
        <f t="shared" si="256"/>
        <v>0</v>
      </c>
      <c r="BH110" s="18">
        <f t="shared" si="256"/>
        <v>0</v>
      </c>
      <c r="BI110" s="18">
        <f t="shared" si="256"/>
        <v>0</v>
      </c>
      <c r="BJ110" s="18">
        <f t="shared" si="256"/>
        <v>0</v>
      </c>
      <c r="BK110" s="18">
        <f t="shared" si="256"/>
        <v>0</v>
      </c>
      <c r="BL110" s="18">
        <f t="shared" si="256"/>
        <v>0</v>
      </c>
      <c r="BM110" s="18">
        <f t="shared" si="256"/>
        <v>0</v>
      </c>
      <c r="BN110" s="18">
        <f t="shared" si="256"/>
        <v>0</v>
      </c>
      <c r="BO110" s="18">
        <f t="shared" si="256"/>
        <v>0</v>
      </c>
      <c r="BP110" s="18">
        <f t="shared" si="256"/>
        <v>0</v>
      </c>
      <c r="BQ110" s="18">
        <f t="shared" si="256"/>
        <v>0</v>
      </c>
      <c r="BR110" s="18">
        <f t="shared" si="256"/>
        <v>0</v>
      </c>
      <c r="BS110" s="18">
        <f t="shared" si="256"/>
        <v>0</v>
      </c>
      <c r="BT110" s="18">
        <f t="shared" si="256"/>
        <v>0</v>
      </c>
      <c r="BU110" s="18">
        <f t="shared" si="256"/>
        <v>0</v>
      </c>
      <c r="BV110" s="18">
        <f t="shared" si="256"/>
        <v>0</v>
      </c>
      <c r="BW110" s="18">
        <f t="shared" si="256"/>
        <v>0</v>
      </c>
      <c r="BX110" s="18">
        <f t="shared" si="256"/>
        <v>0</v>
      </c>
      <c r="BY110" s="18">
        <f t="shared" si="256"/>
        <v>0</v>
      </c>
      <c r="BZ110" s="18">
        <f t="shared" si="256"/>
        <v>0</v>
      </c>
      <c r="CA110" s="18">
        <f t="shared" si="256"/>
        <v>0</v>
      </c>
      <c r="CB110" s="18">
        <f t="shared" si="256"/>
        <v>0</v>
      </c>
      <c r="CC110" s="18">
        <f t="shared" si="256"/>
        <v>0</v>
      </c>
      <c r="CD110" s="18">
        <f t="shared" si="256"/>
        <v>0</v>
      </c>
      <c r="CE110" s="18">
        <f t="shared" si="256"/>
        <v>0</v>
      </c>
      <c r="CF110" s="18">
        <f t="shared" si="256"/>
        <v>0</v>
      </c>
      <c r="CG110" s="18">
        <f t="shared" si="256"/>
        <v>0</v>
      </c>
      <c r="CH110" s="18">
        <f t="shared" si="256"/>
        <v>0</v>
      </c>
      <c r="CI110" s="18">
        <f t="shared" si="256"/>
        <v>0</v>
      </c>
      <c r="CJ110" s="18">
        <f t="shared" si="256"/>
        <v>0</v>
      </c>
      <c r="CK110" s="18">
        <f t="shared" si="256"/>
        <v>0</v>
      </c>
      <c r="CL110" s="18">
        <f t="shared" si="256"/>
        <v>0</v>
      </c>
      <c r="CM110" s="18">
        <f t="shared" si="256"/>
        <v>0</v>
      </c>
      <c r="CN110" s="18">
        <f t="shared" si="256"/>
        <v>0</v>
      </c>
      <c r="CO110" s="18">
        <f t="shared" si="256"/>
        <v>0</v>
      </c>
      <c r="CP110" s="18">
        <f t="shared" si="256"/>
        <v>0</v>
      </c>
      <c r="CQ110" s="18">
        <f t="shared" si="256"/>
        <v>0</v>
      </c>
      <c r="CR110" s="18"/>
      <c r="CS110" s="18"/>
      <c r="CT110" s="18">
        <f t="shared" si="256"/>
        <v>0</v>
      </c>
      <c r="CU110" s="18"/>
      <c r="CV110" s="18"/>
      <c r="CW110" s="18"/>
      <c r="CX110" s="18">
        <f t="shared" si="256"/>
        <v>0</v>
      </c>
      <c r="CY110" s="18">
        <f t="shared" si="256"/>
        <v>0</v>
      </c>
      <c r="CZ110" s="18">
        <f t="shared" si="256"/>
        <v>0</v>
      </c>
      <c r="DA110" s="46">
        <f t="shared" si="256"/>
        <v>0</v>
      </c>
      <c r="DB110" s="85"/>
    </row>
    <row r="111" spans="1:106" ht="31.5" x14ac:dyDescent="0.25">
      <c r="A111" s="72"/>
      <c r="B111" s="21" t="s">
        <v>104</v>
      </c>
      <c r="C111" s="32" t="s">
        <v>208</v>
      </c>
      <c r="D111" s="18">
        <f>SUM(E111+CA111+CX111)</f>
        <v>18724102</v>
      </c>
      <c r="E111" s="19">
        <f>SUM(F111+BB111)</f>
        <v>18724102</v>
      </c>
      <c r="F111" s="19">
        <f>SUM(G111+H111+I111+P111+S111+T111+U111+AE111)</f>
        <v>0</v>
      </c>
      <c r="G111" s="19">
        <v>0</v>
      </c>
      <c r="H111" s="19">
        <v>0</v>
      </c>
      <c r="I111" s="19">
        <f t="shared" ref="I111" si="257">SUM(J111:O111)</f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f t="shared" ref="P111" si="258">SUM(Q111:R111)</f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f>SUM(V111:AC111)</f>
        <v>0</v>
      </c>
      <c r="V111" s="19">
        <v>0</v>
      </c>
      <c r="W111" s="19">
        <v>0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f>SUM(AF111:BA111)</f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0</v>
      </c>
      <c r="AM111" s="19">
        <v>0</v>
      </c>
      <c r="AN111" s="19">
        <v>0</v>
      </c>
      <c r="AO111" s="19">
        <v>0</v>
      </c>
      <c r="AP111" s="19">
        <v>0</v>
      </c>
      <c r="AQ111" s="19"/>
      <c r="AR111" s="19">
        <v>0</v>
      </c>
      <c r="AS111" s="19">
        <v>0</v>
      </c>
      <c r="AT111" s="19">
        <v>0</v>
      </c>
      <c r="AU111" s="19"/>
      <c r="AV111" s="19"/>
      <c r="AW111" s="19">
        <v>0</v>
      </c>
      <c r="AX111" s="19">
        <v>0</v>
      </c>
      <c r="AY111" s="19">
        <v>0</v>
      </c>
      <c r="AZ111" s="19"/>
      <c r="BA111" s="19">
        <v>0</v>
      </c>
      <c r="BB111" s="19">
        <f>SUM(BC111+BG111+BJ111+BL111+BO111)</f>
        <v>18724102</v>
      </c>
      <c r="BC111" s="19">
        <f>SUM(BD111:BF111)</f>
        <v>18724102</v>
      </c>
      <c r="BD111" s="19">
        <v>0</v>
      </c>
      <c r="BE111" s="19">
        <v>0</v>
      </c>
      <c r="BF111" s="23">
        <v>18724102</v>
      </c>
      <c r="BG111" s="19">
        <f>SUM(BI111:BI111)</f>
        <v>0</v>
      </c>
      <c r="BH111" s="19">
        <v>0</v>
      </c>
      <c r="BI111" s="19">
        <v>0</v>
      </c>
      <c r="BJ111" s="19">
        <v>0</v>
      </c>
      <c r="BK111" s="19">
        <v>0</v>
      </c>
      <c r="BL111" s="19">
        <f t="shared" ref="BL111" si="259">SUM(BM111)</f>
        <v>0</v>
      </c>
      <c r="BM111" s="19">
        <v>0</v>
      </c>
      <c r="BN111" s="19">
        <v>0</v>
      </c>
      <c r="BO111" s="19">
        <f>SUM(BP111:BZ111)</f>
        <v>0</v>
      </c>
      <c r="BP111" s="19">
        <v>0</v>
      </c>
      <c r="BQ111" s="19">
        <v>0</v>
      </c>
      <c r="BR111" s="19">
        <v>0</v>
      </c>
      <c r="BS111" s="19">
        <v>0</v>
      </c>
      <c r="BT111" s="19">
        <v>0</v>
      </c>
      <c r="BU111" s="19">
        <v>0</v>
      </c>
      <c r="BV111" s="19">
        <v>0</v>
      </c>
      <c r="BW111" s="19">
        <v>0</v>
      </c>
      <c r="BX111" s="19">
        <v>0</v>
      </c>
      <c r="BY111" s="19">
        <v>0</v>
      </c>
      <c r="BZ111" s="19">
        <v>0</v>
      </c>
      <c r="CA111" s="19">
        <f>SUM(CB111+CT111)</f>
        <v>0</v>
      </c>
      <c r="CB111" s="19">
        <f>SUM(CC111+CF111+CL111)</f>
        <v>0</v>
      </c>
      <c r="CC111" s="19">
        <f t="shared" ref="CC111" si="260">SUM(CD111:CE111)</f>
        <v>0</v>
      </c>
      <c r="CD111" s="19">
        <v>0</v>
      </c>
      <c r="CE111" s="19">
        <v>0</v>
      </c>
      <c r="CF111" s="19">
        <f>SUM(CG111:CK111)</f>
        <v>0</v>
      </c>
      <c r="CG111" s="19">
        <v>0</v>
      </c>
      <c r="CH111" s="19">
        <v>0</v>
      </c>
      <c r="CI111" s="19">
        <v>0</v>
      </c>
      <c r="CJ111" s="19">
        <v>0</v>
      </c>
      <c r="CK111" s="19">
        <v>0</v>
      </c>
      <c r="CL111" s="19">
        <f>SUM(CM111:CQ111)</f>
        <v>0</v>
      </c>
      <c r="CM111" s="19">
        <v>0</v>
      </c>
      <c r="CN111" s="19">
        <v>0</v>
      </c>
      <c r="CO111" s="19">
        <v>0</v>
      </c>
      <c r="CP111" s="19"/>
      <c r="CQ111" s="19"/>
      <c r="CR111" s="19"/>
      <c r="CS111" s="19"/>
      <c r="CT111" s="19">
        <v>0</v>
      </c>
      <c r="CU111" s="19"/>
      <c r="CV111" s="19"/>
      <c r="CW111" s="19"/>
      <c r="CX111" s="19">
        <f t="shared" ref="CX111" si="261">SUM(CY111)</f>
        <v>0</v>
      </c>
      <c r="CY111" s="19">
        <f t="shared" ref="CY111" si="262">SUM(CZ111:DA111)</f>
        <v>0</v>
      </c>
      <c r="CZ111" s="19">
        <v>0</v>
      </c>
      <c r="DA111" s="20">
        <v>0</v>
      </c>
    </row>
    <row r="112" spans="1:106" s="86" customFormat="1" ht="15.75" x14ac:dyDescent="0.25">
      <c r="A112" s="71" t="s">
        <v>209</v>
      </c>
      <c r="B112" s="16" t="s">
        <v>1</v>
      </c>
      <c r="C112" s="17" t="s">
        <v>210</v>
      </c>
      <c r="D112" s="18">
        <f t="shared" ref="D112:AI112" si="263">SUM(D113:D115)</f>
        <v>7845910</v>
      </c>
      <c r="E112" s="18">
        <f t="shared" si="263"/>
        <v>7845910</v>
      </c>
      <c r="F112" s="18">
        <f t="shared" si="263"/>
        <v>7845910</v>
      </c>
      <c r="G112" s="18">
        <f t="shared" si="263"/>
        <v>0</v>
      </c>
      <c r="H112" s="18">
        <f t="shared" si="263"/>
        <v>0</v>
      </c>
      <c r="I112" s="18">
        <f t="shared" si="263"/>
        <v>0</v>
      </c>
      <c r="J112" s="18">
        <f t="shared" si="263"/>
        <v>0</v>
      </c>
      <c r="K112" s="18">
        <f t="shared" si="263"/>
        <v>0</v>
      </c>
      <c r="L112" s="18">
        <f t="shared" si="263"/>
        <v>0</v>
      </c>
      <c r="M112" s="18">
        <f t="shared" si="263"/>
        <v>0</v>
      </c>
      <c r="N112" s="18">
        <f t="shared" si="263"/>
        <v>0</v>
      </c>
      <c r="O112" s="18">
        <f t="shared" si="263"/>
        <v>0</v>
      </c>
      <c r="P112" s="18">
        <f t="shared" si="263"/>
        <v>0</v>
      </c>
      <c r="Q112" s="18">
        <f t="shared" si="263"/>
        <v>0</v>
      </c>
      <c r="R112" s="18">
        <f t="shared" si="263"/>
        <v>0</v>
      </c>
      <c r="S112" s="18">
        <f t="shared" si="263"/>
        <v>0</v>
      </c>
      <c r="T112" s="18">
        <f t="shared" si="263"/>
        <v>0</v>
      </c>
      <c r="U112" s="18">
        <f t="shared" si="263"/>
        <v>0</v>
      </c>
      <c r="V112" s="18">
        <f t="shared" si="263"/>
        <v>0</v>
      </c>
      <c r="W112" s="18">
        <f t="shared" si="263"/>
        <v>0</v>
      </c>
      <c r="X112" s="18">
        <f t="shared" si="263"/>
        <v>0</v>
      </c>
      <c r="Y112" s="18">
        <f t="shared" si="263"/>
        <v>0</v>
      </c>
      <c r="Z112" s="18">
        <f t="shared" si="263"/>
        <v>0</v>
      </c>
      <c r="AA112" s="18">
        <f t="shared" si="263"/>
        <v>0</v>
      </c>
      <c r="AB112" s="18">
        <f t="shared" si="263"/>
        <v>0</v>
      </c>
      <c r="AC112" s="18">
        <f t="shared" si="263"/>
        <v>0</v>
      </c>
      <c r="AD112" s="18">
        <f t="shared" ref="AD112" si="264">SUM(AD113:AD115)</f>
        <v>0</v>
      </c>
      <c r="AE112" s="18">
        <f t="shared" si="263"/>
        <v>7845910</v>
      </c>
      <c r="AF112" s="18">
        <f t="shared" si="263"/>
        <v>0</v>
      </c>
      <c r="AG112" s="18">
        <f t="shared" si="263"/>
        <v>0</v>
      </c>
      <c r="AH112" s="18">
        <f t="shared" si="263"/>
        <v>0</v>
      </c>
      <c r="AI112" s="18">
        <f t="shared" si="263"/>
        <v>0</v>
      </c>
      <c r="AJ112" s="18">
        <f t="shared" ref="AJ112:BQ112" si="265">SUM(AJ113:AJ115)</f>
        <v>0</v>
      </c>
      <c r="AK112" s="18">
        <f t="shared" si="265"/>
        <v>0</v>
      </c>
      <c r="AL112" s="18">
        <f t="shared" si="265"/>
        <v>0</v>
      </c>
      <c r="AM112" s="18">
        <f t="shared" si="265"/>
        <v>0</v>
      </c>
      <c r="AN112" s="18">
        <f t="shared" si="265"/>
        <v>0</v>
      </c>
      <c r="AO112" s="18">
        <f t="shared" si="265"/>
        <v>0</v>
      </c>
      <c r="AP112" s="18">
        <f t="shared" si="265"/>
        <v>0</v>
      </c>
      <c r="AQ112" s="18"/>
      <c r="AR112" s="18">
        <f t="shared" si="265"/>
        <v>0</v>
      </c>
      <c r="AS112" s="18">
        <f t="shared" si="265"/>
        <v>0</v>
      </c>
      <c r="AT112" s="18">
        <f t="shared" si="265"/>
        <v>0</v>
      </c>
      <c r="AU112" s="18">
        <f t="shared" si="265"/>
        <v>0</v>
      </c>
      <c r="AV112" s="18">
        <f t="shared" si="265"/>
        <v>0</v>
      </c>
      <c r="AW112" s="18">
        <f t="shared" si="265"/>
        <v>0</v>
      </c>
      <c r="AX112" s="18">
        <f t="shared" si="265"/>
        <v>0</v>
      </c>
      <c r="AY112" s="18">
        <f t="shared" si="265"/>
        <v>0</v>
      </c>
      <c r="AZ112" s="18">
        <f t="shared" si="265"/>
        <v>0</v>
      </c>
      <c r="BA112" s="18">
        <f t="shared" si="265"/>
        <v>7845910</v>
      </c>
      <c r="BB112" s="18">
        <f t="shared" si="265"/>
        <v>0</v>
      </c>
      <c r="BC112" s="18">
        <f t="shared" si="265"/>
        <v>0</v>
      </c>
      <c r="BD112" s="18">
        <f t="shared" si="265"/>
        <v>0</v>
      </c>
      <c r="BE112" s="18">
        <f t="shared" si="265"/>
        <v>0</v>
      </c>
      <c r="BF112" s="18">
        <f t="shared" si="265"/>
        <v>0</v>
      </c>
      <c r="BG112" s="18">
        <f t="shared" si="265"/>
        <v>0</v>
      </c>
      <c r="BH112" s="18">
        <f t="shared" si="265"/>
        <v>0</v>
      </c>
      <c r="BI112" s="18">
        <f t="shared" si="265"/>
        <v>0</v>
      </c>
      <c r="BJ112" s="18">
        <f t="shared" si="265"/>
        <v>0</v>
      </c>
      <c r="BK112" s="18">
        <f t="shared" ref="BK112" si="266">SUM(BK113:BK115)</f>
        <v>0</v>
      </c>
      <c r="BL112" s="18">
        <f t="shared" si="265"/>
        <v>0</v>
      </c>
      <c r="BM112" s="18">
        <f t="shared" si="265"/>
        <v>0</v>
      </c>
      <c r="BN112" s="18">
        <f t="shared" si="265"/>
        <v>0</v>
      </c>
      <c r="BO112" s="18">
        <f t="shared" si="265"/>
        <v>0</v>
      </c>
      <c r="BP112" s="18">
        <f t="shared" si="265"/>
        <v>0</v>
      </c>
      <c r="BQ112" s="18">
        <f t="shared" si="265"/>
        <v>0</v>
      </c>
      <c r="BR112" s="18">
        <f t="shared" ref="BR112:DA112" si="267">SUM(BR113:BR115)</f>
        <v>0</v>
      </c>
      <c r="BS112" s="18">
        <f t="shared" si="267"/>
        <v>0</v>
      </c>
      <c r="BT112" s="18">
        <f t="shared" si="267"/>
        <v>0</v>
      </c>
      <c r="BU112" s="18">
        <f t="shared" si="267"/>
        <v>0</v>
      </c>
      <c r="BV112" s="18">
        <f t="shared" si="267"/>
        <v>0</v>
      </c>
      <c r="BW112" s="18">
        <f t="shared" si="267"/>
        <v>0</v>
      </c>
      <c r="BX112" s="18">
        <f t="shared" si="267"/>
        <v>0</v>
      </c>
      <c r="BY112" s="18">
        <f t="shared" si="267"/>
        <v>0</v>
      </c>
      <c r="BZ112" s="18">
        <f t="shared" si="267"/>
        <v>0</v>
      </c>
      <c r="CA112" s="18">
        <f t="shared" si="267"/>
        <v>0</v>
      </c>
      <c r="CB112" s="18">
        <f t="shared" si="267"/>
        <v>0</v>
      </c>
      <c r="CC112" s="18">
        <f t="shared" si="267"/>
        <v>0</v>
      </c>
      <c r="CD112" s="18">
        <f t="shared" si="267"/>
        <v>0</v>
      </c>
      <c r="CE112" s="18">
        <f t="shared" si="267"/>
        <v>0</v>
      </c>
      <c r="CF112" s="18">
        <f t="shared" si="267"/>
        <v>0</v>
      </c>
      <c r="CG112" s="18">
        <f t="shared" si="267"/>
        <v>0</v>
      </c>
      <c r="CH112" s="18">
        <f t="shared" si="267"/>
        <v>0</v>
      </c>
      <c r="CI112" s="18">
        <f t="shared" si="267"/>
        <v>0</v>
      </c>
      <c r="CJ112" s="18">
        <f t="shared" si="267"/>
        <v>0</v>
      </c>
      <c r="CK112" s="18">
        <f t="shared" si="267"/>
        <v>0</v>
      </c>
      <c r="CL112" s="18">
        <f t="shared" si="267"/>
        <v>0</v>
      </c>
      <c r="CM112" s="18">
        <f t="shared" si="267"/>
        <v>0</v>
      </c>
      <c r="CN112" s="18">
        <f t="shared" si="267"/>
        <v>0</v>
      </c>
      <c r="CO112" s="18">
        <f t="shared" si="267"/>
        <v>0</v>
      </c>
      <c r="CP112" s="18">
        <f t="shared" si="267"/>
        <v>0</v>
      </c>
      <c r="CQ112" s="18">
        <f t="shared" si="267"/>
        <v>0</v>
      </c>
      <c r="CR112" s="18"/>
      <c r="CS112" s="18"/>
      <c r="CT112" s="18">
        <f t="shared" si="267"/>
        <v>0</v>
      </c>
      <c r="CU112" s="18"/>
      <c r="CV112" s="18"/>
      <c r="CW112" s="18"/>
      <c r="CX112" s="18">
        <f t="shared" si="267"/>
        <v>0</v>
      </c>
      <c r="CY112" s="18">
        <f t="shared" si="267"/>
        <v>0</v>
      </c>
      <c r="CZ112" s="18">
        <f t="shared" si="267"/>
        <v>0</v>
      </c>
      <c r="DA112" s="46">
        <f t="shared" si="267"/>
        <v>0</v>
      </c>
      <c r="DB112" s="85"/>
    </row>
    <row r="113" spans="1:106" ht="15.75" x14ac:dyDescent="0.25">
      <c r="A113" s="72"/>
      <c r="B113" s="21" t="s">
        <v>80</v>
      </c>
      <c r="C113" s="32" t="s">
        <v>515</v>
      </c>
      <c r="D113" s="18">
        <f>SUM(E113+CA113+CX113)</f>
        <v>961971</v>
      </c>
      <c r="E113" s="19">
        <f>SUM(F113+BB113)</f>
        <v>961971</v>
      </c>
      <c r="F113" s="19">
        <f t="shared" ref="F113:F115" si="268">SUM(G113+H113+I113+P113+S113+T113+U113+AE113)</f>
        <v>961971</v>
      </c>
      <c r="G113" s="19">
        <v>0</v>
      </c>
      <c r="H113" s="19">
        <v>0</v>
      </c>
      <c r="I113" s="19">
        <f t="shared" ref="I113:I115" si="269">SUM(J113:O113)</f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f t="shared" ref="P113:P115" si="270">SUM(Q113:R113)</f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f t="shared" ref="U113:U115" si="271">SUM(V113:AC113)</f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f>SUM(AF113:BA113)</f>
        <v>961971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/>
      <c r="AR113" s="19">
        <v>0</v>
      </c>
      <c r="AS113" s="19">
        <v>0</v>
      </c>
      <c r="AT113" s="19">
        <v>0</v>
      </c>
      <c r="AU113" s="19">
        <v>0</v>
      </c>
      <c r="AV113" s="19">
        <v>0</v>
      </c>
      <c r="AW113" s="19">
        <v>0</v>
      </c>
      <c r="AX113" s="19">
        <v>0</v>
      </c>
      <c r="AY113" s="19">
        <v>0</v>
      </c>
      <c r="AZ113" s="19">
        <v>0</v>
      </c>
      <c r="BA113" s="19">
        <v>961971</v>
      </c>
      <c r="BB113" s="19">
        <f>SUM(BC113+BG113+BJ113+BL113+BO113)</f>
        <v>0</v>
      </c>
      <c r="BC113" s="19">
        <f t="shared" ref="BC113:BC115" si="272">SUM(BD113:BF113)</f>
        <v>0</v>
      </c>
      <c r="BD113" s="19">
        <v>0</v>
      </c>
      <c r="BE113" s="19">
        <v>0</v>
      </c>
      <c r="BF113" s="23"/>
      <c r="BG113" s="19">
        <f t="shared" ref="BG113:BG115" si="273">SUM(BI113:BI113)</f>
        <v>0</v>
      </c>
      <c r="BH113" s="19">
        <v>0</v>
      </c>
      <c r="BI113" s="19">
        <v>0</v>
      </c>
      <c r="BJ113" s="19">
        <v>0</v>
      </c>
      <c r="BK113" s="19">
        <v>0</v>
      </c>
      <c r="BL113" s="19">
        <f t="shared" ref="BL113:BL115" si="274">SUM(BM113)</f>
        <v>0</v>
      </c>
      <c r="BM113" s="19">
        <v>0</v>
      </c>
      <c r="BN113" s="19">
        <v>0</v>
      </c>
      <c r="BO113" s="19">
        <f t="shared" ref="BO113:BO115" si="275">SUM(BP113:BZ113)</f>
        <v>0</v>
      </c>
      <c r="BP113" s="19">
        <v>0</v>
      </c>
      <c r="BQ113" s="19">
        <v>0</v>
      </c>
      <c r="BR113" s="19">
        <v>0</v>
      </c>
      <c r="BS113" s="19">
        <v>0</v>
      </c>
      <c r="BT113" s="19">
        <v>0</v>
      </c>
      <c r="BU113" s="19">
        <v>0</v>
      </c>
      <c r="BV113" s="19">
        <v>0</v>
      </c>
      <c r="BW113" s="19">
        <v>0</v>
      </c>
      <c r="BX113" s="19">
        <v>0</v>
      </c>
      <c r="BY113" s="19">
        <v>0</v>
      </c>
      <c r="BZ113" s="19">
        <v>0</v>
      </c>
      <c r="CA113" s="19">
        <f>SUM(CB113+CT113)</f>
        <v>0</v>
      </c>
      <c r="CB113" s="19">
        <f>SUM(CC113+CF113+CL113)</f>
        <v>0</v>
      </c>
      <c r="CC113" s="19">
        <f t="shared" ref="CC113:CC115" si="276">SUM(CD113:CE113)</f>
        <v>0</v>
      </c>
      <c r="CD113" s="19">
        <v>0</v>
      </c>
      <c r="CE113" s="19">
        <v>0</v>
      </c>
      <c r="CF113" s="19">
        <f>SUM(CG113:CK113)</f>
        <v>0</v>
      </c>
      <c r="CG113" s="19">
        <v>0</v>
      </c>
      <c r="CH113" s="19">
        <v>0</v>
      </c>
      <c r="CI113" s="19">
        <v>0</v>
      </c>
      <c r="CJ113" s="19">
        <v>0</v>
      </c>
      <c r="CK113" s="19">
        <v>0</v>
      </c>
      <c r="CL113" s="19">
        <f t="shared" ref="CL113:CL115" si="277">SUM(CM113:CQ113)</f>
        <v>0</v>
      </c>
      <c r="CM113" s="19">
        <v>0</v>
      </c>
      <c r="CN113" s="19">
        <v>0</v>
      </c>
      <c r="CO113" s="19">
        <v>0</v>
      </c>
      <c r="CP113" s="19"/>
      <c r="CQ113" s="19"/>
      <c r="CR113" s="19"/>
      <c r="CS113" s="19"/>
      <c r="CT113" s="19">
        <v>0</v>
      </c>
      <c r="CU113" s="19"/>
      <c r="CV113" s="19"/>
      <c r="CW113" s="19"/>
      <c r="CX113" s="19">
        <f t="shared" ref="CX113:CX115" si="278">SUM(CY113)</f>
        <v>0</v>
      </c>
      <c r="CY113" s="19">
        <f t="shared" ref="CY113:CY115" si="279">SUM(CZ113:DA113)</f>
        <v>0</v>
      </c>
      <c r="CZ113" s="19">
        <v>0</v>
      </c>
      <c r="DA113" s="20">
        <v>0</v>
      </c>
    </row>
    <row r="114" spans="1:106" ht="31.5" x14ac:dyDescent="0.25">
      <c r="A114" s="72"/>
      <c r="B114" s="21" t="s">
        <v>88</v>
      </c>
      <c r="C114" s="32" t="s">
        <v>625</v>
      </c>
      <c r="D114" s="18">
        <f>SUM(E114+CA114+CX114)</f>
        <v>1194750</v>
      </c>
      <c r="E114" s="19">
        <f>SUM(F114+BB114)</f>
        <v>1194750</v>
      </c>
      <c r="F114" s="19">
        <f t="shared" si="268"/>
        <v>1194750</v>
      </c>
      <c r="G114" s="19">
        <v>0</v>
      </c>
      <c r="H114" s="19">
        <v>0</v>
      </c>
      <c r="I114" s="19">
        <f t="shared" ref="I114" si="280">SUM(J114:O114)</f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f t="shared" ref="P114" si="281">SUM(Q114:R114)</f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f t="shared" ref="U114" si="282">SUM(V114:AC114)</f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f>SUM(AF114:BA114)</f>
        <v>1194750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/>
      <c r="AR114" s="19">
        <v>0</v>
      </c>
      <c r="AS114" s="19">
        <v>0</v>
      </c>
      <c r="AT114" s="19">
        <v>0</v>
      </c>
      <c r="AU114" s="19">
        <v>0</v>
      </c>
      <c r="AV114" s="19">
        <v>0</v>
      </c>
      <c r="AW114" s="19">
        <v>0</v>
      </c>
      <c r="AX114" s="19">
        <v>0</v>
      </c>
      <c r="AY114" s="19">
        <v>0</v>
      </c>
      <c r="AZ114" s="19">
        <v>0</v>
      </c>
      <c r="BA114" s="19">
        <v>1194750</v>
      </c>
      <c r="BB114" s="19">
        <f>SUM(BC114+BG114+BJ114+BL114+BO114)</f>
        <v>0</v>
      </c>
      <c r="BC114" s="19">
        <f t="shared" ref="BC114" si="283">SUM(BD114:BF114)</f>
        <v>0</v>
      </c>
      <c r="BD114" s="19">
        <v>0</v>
      </c>
      <c r="BE114" s="19">
        <v>0</v>
      </c>
      <c r="BF114" s="23"/>
      <c r="BG114" s="19">
        <f t="shared" ref="BG114" si="284">SUM(BI114:BI114)</f>
        <v>0</v>
      </c>
      <c r="BH114" s="19">
        <v>0</v>
      </c>
      <c r="BI114" s="19">
        <v>0</v>
      </c>
      <c r="BJ114" s="19">
        <v>0</v>
      </c>
      <c r="BK114" s="19">
        <v>0</v>
      </c>
      <c r="BL114" s="19">
        <f t="shared" ref="BL114" si="285">SUM(BM114)</f>
        <v>0</v>
      </c>
      <c r="BM114" s="19">
        <v>0</v>
      </c>
      <c r="BN114" s="19">
        <v>0</v>
      </c>
      <c r="BO114" s="19">
        <f t="shared" ref="BO114" si="286">SUM(BP114:BZ114)</f>
        <v>0</v>
      </c>
      <c r="BP114" s="19">
        <v>0</v>
      </c>
      <c r="BQ114" s="19">
        <v>0</v>
      </c>
      <c r="BR114" s="19"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v>0</v>
      </c>
      <c r="BX114" s="19">
        <v>0</v>
      </c>
      <c r="BY114" s="19">
        <v>0</v>
      </c>
      <c r="BZ114" s="19">
        <v>0</v>
      </c>
      <c r="CA114" s="19">
        <f>SUM(CB114+CT114)</f>
        <v>0</v>
      </c>
      <c r="CB114" s="19">
        <f>SUM(CC114+CF114+CL114)</f>
        <v>0</v>
      </c>
      <c r="CC114" s="19">
        <f t="shared" ref="CC114" si="287">SUM(CD114:CE114)</f>
        <v>0</v>
      </c>
      <c r="CD114" s="19">
        <v>0</v>
      </c>
      <c r="CE114" s="19">
        <v>0</v>
      </c>
      <c r="CF114" s="19">
        <f>SUM(CG114:CK114)</f>
        <v>0</v>
      </c>
      <c r="CG114" s="19">
        <v>0</v>
      </c>
      <c r="CH114" s="19">
        <v>0</v>
      </c>
      <c r="CI114" s="19">
        <v>0</v>
      </c>
      <c r="CJ114" s="19">
        <v>0</v>
      </c>
      <c r="CK114" s="19">
        <v>0</v>
      </c>
      <c r="CL114" s="19">
        <f t="shared" ref="CL114" si="288">SUM(CM114:CQ114)</f>
        <v>0</v>
      </c>
      <c r="CM114" s="19">
        <v>0</v>
      </c>
      <c r="CN114" s="19">
        <v>0</v>
      </c>
      <c r="CO114" s="19">
        <v>0</v>
      </c>
      <c r="CP114" s="19"/>
      <c r="CQ114" s="19"/>
      <c r="CR114" s="19"/>
      <c r="CS114" s="19"/>
      <c r="CT114" s="19">
        <v>0</v>
      </c>
      <c r="CU114" s="19"/>
      <c r="CV114" s="19"/>
      <c r="CW114" s="19"/>
      <c r="CX114" s="19">
        <f t="shared" ref="CX114" si="289">SUM(CY114)</f>
        <v>0</v>
      </c>
      <c r="CY114" s="19">
        <f t="shared" ref="CY114" si="290">SUM(CZ114:DA114)</f>
        <v>0</v>
      </c>
      <c r="CZ114" s="19">
        <v>0</v>
      </c>
      <c r="DA114" s="20">
        <v>0</v>
      </c>
    </row>
    <row r="115" spans="1:106" ht="31.5" x14ac:dyDescent="0.25">
      <c r="A115" s="72"/>
      <c r="B115" s="21" t="s">
        <v>104</v>
      </c>
      <c r="C115" s="32" t="s">
        <v>516</v>
      </c>
      <c r="D115" s="18">
        <f>SUM(E115+CA115+CX115)</f>
        <v>5689189</v>
      </c>
      <c r="E115" s="19">
        <f>SUM(F115+BB115)</f>
        <v>5689189</v>
      </c>
      <c r="F115" s="19">
        <f t="shared" si="268"/>
        <v>5689189</v>
      </c>
      <c r="G115" s="19">
        <v>0</v>
      </c>
      <c r="H115" s="19">
        <v>0</v>
      </c>
      <c r="I115" s="19">
        <f t="shared" si="269"/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f t="shared" si="270"/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f t="shared" si="271"/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f>SUM(AF115:BA115)</f>
        <v>5689189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>
        <v>0</v>
      </c>
      <c r="AQ115" s="19"/>
      <c r="AR115" s="19">
        <v>0</v>
      </c>
      <c r="AS115" s="19">
        <v>0</v>
      </c>
      <c r="AT115" s="19">
        <v>0</v>
      </c>
      <c r="AU115" s="19">
        <v>0</v>
      </c>
      <c r="AV115" s="19">
        <v>0</v>
      </c>
      <c r="AW115" s="19">
        <v>0</v>
      </c>
      <c r="AX115" s="19">
        <v>0</v>
      </c>
      <c r="AY115" s="19">
        <v>0</v>
      </c>
      <c r="AZ115" s="19">
        <v>0</v>
      </c>
      <c r="BA115" s="19">
        <v>5689189</v>
      </c>
      <c r="BB115" s="19">
        <f>SUM(BC115+BG115+BJ115+BL115+BO115)</f>
        <v>0</v>
      </c>
      <c r="BC115" s="19">
        <f t="shared" si="272"/>
        <v>0</v>
      </c>
      <c r="BD115" s="19">
        <v>0</v>
      </c>
      <c r="BE115" s="19">
        <v>0</v>
      </c>
      <c r="BF115" s="23"/>
      <c r="BG115" s="19">
        <f t="shared" si="273"/>
        <v>0</v>
      </c>
      <c r="BH115" s="19">
        <v>0</v>
      </c>
      <c r="BI115" s="19">
        <v>0</v>
      </c>
      <c r="BJ115" s="19">
        <v>0</v>
      </c>
      <c r="BK115" s="19">
        <v>0</v>
      </c>
      <c r="BL115" s="19">
        <f t="shared" si="274"/>
        <v>0</v>
      </c>
      <c r="BM115" s="19">
        <v>0</v>
      </c>
      <c r="BN115" s="19">
        <v>0</v>
      </c>
      <c r="BO115" s="19">
        <f t="shared" si="275"/>
        <v>0</v>
      </c>
      <c r="BP115" s="19">
        <v>0</v>
      </c>
      <c r="BQ115" s="19">
        <v>0</v>
      </c>
      <c r="BR115" s="19">
        <v>0</v>
      </c>
      <c r="BS115" s="19">
        <v>0</v>
      </c>
      <c r="BT115" s="19">
        <v>0</v>
      </c>
      <c r="BU115" s="19">
        <v>0</v>
      </c>
      <c r="BV115" s="19">
        <v>0</v>
      </c>
      <c r="BW115" s="19">
        <v>0</v>
      </c>
      <c r="BX115" s="19">
        <v>0</v>
      </c>
      <c r="BY115" s="19">
        <v>0</v>
      </c>
      <c r="BZ115" s="19">
        <v>0</v>
      </c>
      <c r="CA115" s="19">
        <f>SUM(CB115+CT115)</f>
        <v>0</v>
      </c>
      <c r="CB115" s="19">
        <f>SUM(CC115+CF115+CL115)</f>
        <v>0</v>
      </c>
      <c r="CC115" s="19">
        <f t="shared" si="276"/>
        <v>0</v>
      </c>
      <c r="CD115" s="19">
        <v>0</v>
      </c>
      <c r="CE115" s="19">
        <v>0</v>
      </c>
      <c r="CF115" s="19">
        <f>SUM(CG115:CK115)</f>
        <v>0</v>
      </c>
      <c r="CG115" s="19">
        <v>0</v>
      </c>
      <c r="CH115" s="19">
        <v>0</v>
      </c>
      <c r="CI115" s="19">
        <v>0</v>
      </c>
      <c r="CJ115" s="19">
        <v>0</v>
      </c>
      <c r="CK115" s="19">
        <v>0</v>
      </c>
      <c r="CL115" s="19">
        <f t="shared" si="277"/>
        <v>0</v>
      </c>
      <c r="CM115" s="19">
        <v>0</v>
      </c>
      <c r="CN115" s="19">
        <v>0</v>
      </c>
      <c r="CO115" s="19">
        <v>0</v>
      </c>
      <c r="CP115" s="19"/>
      <c r="CQ115" s="19"/>
      <c r="CR115" s="19"/>
      <c r="CS115" s="19"/>
      <c r="CT115" s="19">
        <v>0</v>
      </c>
      <c r="CU115" s="19"/>
      <c r="CV115" s="19"/>
      <c r="CW115" s="19"/>
      <c r="CX115" s="19">
        <f t="shared" si="278"/>
        <v>0</v>
      </c>
      <c r="CY115" s="19">
        <f t="shared" si="279"/>
        <v>0</v>
      </c>
      <c r="CZ115" s="19">
        <v>0</v>
      </c>
      <c r="DA115" s="20">
        <v>0</v>
      </c>
    </row>
    <row r="116" spans="1:106" s="86" customFormat="1" ht="31.5" x14ac:dyDescent="0.25">
      <c r="A116" s="71" t="s">
        <v>211</v>
      </c>
      <c r="B116" s="16" t="s">
        <v>1</v>
      </c>
      <c r="C116" s="17" t="s">
        <v>212</v>
      </c>
      <c r="D116" s="18">
        <f t="shared" ref="D116:AY116" si="291">SUM(D117:D117)</f>
        <v>1502137</v>
      </c>
      <c r="E116" s="18">
        <f t="shared" si="291"/>
        <v>1502137</v>
      </c>
      <c r="F116" s="18">
        <f t="shared" si="291"/>
        <v>1502137</v>
      </c>
      <c r="G116" s="18">
        <f t="shared" si="291"/>
        <v>0</v>
      </c>
      <c r="H116" s="18">
        <f t="shared" si="291"/>
        <v>0</v>
      </c>
      <c r="I116" s="18">
        <f t="shared" si="291"/>
        <v>0</v>
      </c>
      <c r="J116" s="18">
        <f t="shared" si="291"/>
        <v>0</v>
      </c>
      <c r="K116" s="18">
        <f t="shared" si="291"/>
        <v>0</v>
      </c>
      <c r="L116" s="18">
        <f t="shared" si="291"/>
        <v>0</v>
      </c>
      <c r="M116" s="18">
        <f t="shared" si="291"/>
        <v>0</v>
      </c>
      <c r="N116" s="18">
        <f t="shared" si="291"/>
        <v>0</v>
      </c>
      <c r="O116" s="18">
        <f t="shared" si="291"/>
        <v>0</v>
      </c>
      <c r="P116" s="18">
        <f t="shared" si="291"/>
        <v>0</v>
      </c>
      <c r="Q116" s="18">
        <f t="shared" si="291"/>
        <v>0</v>
      </c>
      <c r="R116" s="18">
        <f t="shared" si="291"/>
        <v>0</v>
      </c>
      <c r="S116" s="18">
        <f t="shared" si="291"/>
        <v>0</v>
      </c>
      <c r="T116" s="18">
        <f t="shared" si="291"/>
        <v>0</v>
      </c>
      <c r="U116" s="18">
        <f t="shared" si="291"/>
        <v>0</v>
      </c>
      <c r="V116" s="18">
        <f t="shared" si="291"/>
        <v>0</v>
      </c>
      <c r="W116" s="18">
        <f t="shared" si="291"/>
        <v>0</v>
      </c>
      <c r="X116" s="18">
        <f t="shared" si="291"/>
        <v>0</v>
      </c>
      <c r="Y116" s="18">
        <f t="shared" si="291"/>
        <v>0</v>
      </c>
      <c r="Z116" s="18">
        <f t="shared" si="291"/>
        <v>0</v>
      </c>
      <c r="AA116" s="18">
        <f t="shared" si="291"/>
        <v>0</v>
      </c>
      <c r="AB116" s="18">
        <f t="shared" si="291"/>
        <v>0</v>
      </c>
      <c r="AC116" s="18">
        <f t="shared" si="291"/>
        <v>0</v>
      </c>
      <c r="AD116" s="18">
        <f t="shared" si="291"/>
        <v>0</v>
      </c>
      <c r="AE116" s="18">
        <f t="shared" si="291"/>
        <v>1502137</v>
      </c>
      <c r="AF116" s="18">
        <f t="shared" si="291"/>
        <v>0</v>
      </c>
      <c r="AG116" s="18">
        <f t="shared" si="291"/>
        <v>0</v>
      </c>
      <c r="AH116" s="18">
        <f t="shared" si="291"/>
        <v>0</v>
      </c>
      <c r="AI116" s="18">
        <f t="shared" si="291"/>
        <v>0</v>
      </c>
      <c r="AJ116" s="18">
        <f t="shared" si="291"/>
        <v>0</v>
      </c>
      <c r="AK116" s="18">
        <f t="shared" si="291"/>
        <v>0</v>
      </c>
      <c r="AL116" s="18">
        <f t="shared" si="291"/>
        <v>0</v>
      </c>
      <c r="AM116" s="18">
        <f t="shared" si="291"/>
        <v>0</v>
      </c>
      <c r="AN116" s="18">
        <f t="shared" si="291"/>
        <v>0</v>
      </c>
      <c r="AO116" s="18">
        <f t="shared" si="291"/>
        <v>0</v>
      </c>
      <c r="AP116" s="18">
        <f t="shared" si="291"/>
        <v>0</v>
      </c>
      <c r="AQ116" s="18"/>
      <c r="AR116" s="18">
        <f t="shared" si="291"/>
        <v>0</v>
      </c>
      <c r="AS116" s="18">
        <f t="shared" si="291"/>
        <v>0</v>
      </c>
      <c r="AT116" s="18">
        <f t="shared" si="291"/>
        <v>0</v>
      </c>
      <c r="AU116" s="18">
        <f t="shared" si="291"/>
        <v>0</v>
      </c>
      <c r="AV116" s="18">
        <f t="shared" si="291"/>
        <v>0</v>
      </c>
      <c r="AW116" s="18">
        <f t="shared" si="291"/>
        <v>0</v>
      </c>
      <c r="AX116" s="18">
        <f t="shared" si="291"/>
        <v>0</v>
      </c>
      <c r="AY116" s="18">
        <f t="shared" si="291"/>
        <v>0</v>
      </c>
      <c r="AZ116" s="18"/>
      <c r="BA116" s="18">
        <f t="shared" ref="BA116:DA116" si="292">SUM(BA117:BA117)</f>
        <v>1502137</v>
      </c>
      <c r="BB116" s="18">
        <f t="shared" si="292"/>
        <v>0</v>
      </c>
      <c r="BC116" s="18">
        <f t="shared" si="292"/>
        <v>0</v>
      </c>
      <c r="BD116" s="18">
        <f t="shared" si="292"/>
        <v>0</v>
      </c>
      <c r="BE116" s="18">
        <f t="shared" si="292"/>
        <v>0</v>
      </c>
      <c r="BF116" s="18">
        <f t="shared" si="292"/>
        <v>0</v>
      </c>
      <c r="BG116" s="18">
        <f t="shared" si="292"/>
        <v>0</v>
      </c>
      <c r="BH116" s="18">
        <f t="shared" si="292"/>
        <v>0</v>
      </c>
      <c r="BI116" s="18">
        <f t="shared" si="292"/>
        <v>0</v>
      </c>
      <c r="BJ116" s="18">
        <f t="shared" si="292"/>
        <v>0</v>
      </c>
      <c r="BK116" s="18">
        <f t="shared" si="292"/>
        <v>0</v>
      </c>
      <c r="BL116" s="18">
        <f t="shared" si="292"/>
        <v>0</v>
      </c>
      <c r="BM116" s="18">
        <f t="shared" si="292"/>
        <v>0</v>
      </c>
      <c r="BN116" s="18">
        <f t="shared" si="292"/>
        <v>0</v>
      </c>
      <c r="BO116" s="18">
        <f t="shared" si="292"/>
        <v>0</v>
      </c>
      <c r="BP116" s="18">
        <f t="shared" si="292"/>
        <v>0</v>
      </c>
      <c r="BQ116" s="18">
        <f t="shared" si="292"/>
        <v>0</v>
      </c>
      <c r="BR116" s="18">
        <f t="shared" si="292"/>
        <v>0</v>
      </c>
      <c r="BS116" s="18">
        <f t="shared" si="292"/>
        <v>0</v>
      </c>
      <c r="BT116" s="18">
        <f t="shared" si="292"/>
        <v>0</v>
      </c>
      <c r="BU116" s="18">
        <f t="shared" si="292"/>
        <v>0</v>
      </c>
      <c r="BV116" s="18">
        <f t="shared" si="292"/>
        <v>0</v>
      </c>
      <c r="BW116" s="18">
        <f t="shared" si="292"/>
        <v>0</v>
      </c>
      <c r="BX116" s="18">
        <f t="shared" si="292"/>
        <v>0</v>
      </c>
      <c r="BY116" s="18">
        <f t="shared" si="292"/>
        <v>0</v>
      </c>
      <c r="BZ116" s="18">
        <f t="shared" si="292"/>
        <v>0</v>
      </c>
      <c r="CA116" s="18">
        <f t="shared" si="292"/>
        <v>0</v>
      </c>
      <c r="CB116" s="18">
        <f t="shared" si="292"/>
        <v>0</v>
      </c>
      <c r="CC116" s="18">
        <f t="shared" si="292"/>
        <v>0</v>
      </c>
      <c r="CD116" s="18">
        <f t="shared" si="292"/>
        <v>0</v>
      </c>
      <c r="CE116" s="18">
        <f t="shared" si="292"/>
        <v>0</v>
      </c>
      <c r="CF116" s="18">
        <f t="shared" si="292"/>
        <v>0</v>
      </c>
      <c r="CG116" s="18">
        <f t="shared" si="292"/>
        <v>0</v>
      </c>
      <c r="CH116" s="18">
        <f t="shared" si="292"/>
        <v>0</v>
      </c>
      <c r="CI116" s="18">
        <f t="shared" si="292"/>
        <v>0</v>
      </c>
      <c r="CJ116" s="18">
        <f t="shared" si="292"/>
        <v>0</v>
      </c>
      <c r="CK116" s="18">
        <f t="shared" si="292"/>
        <v>0</v>
      </c>
      <c r="CL116" s="18">
        <f t="shared" si="292"/>
        <v>0</v>
      </c>
      <c r="CM116" s="18">
        <f t="shared" si="292"/>
        <v>0</v>
      </c>
      <c r="CN116" s="18">
        <f t="shared" si="292"/>
        <v>0</v>
      </c>
      <c r="CO116" s="18">
        <f t="shared" si="292"/>
        <v>0</v>
      </c>
      <c r="CP116" s="18">
        <f t="shared" si="292"/>
        <v>0</v>
      </c>
      <c r="CQ116" s="18">
        <f t="shared" si="292"/>
        <v>0</v>
      </c>
      <c r="CR116" s="18"/>
      <c r="CS116" s="18"/>
      <c r="CT116" s="18">
        <f t="shared" si="292"/>
        <v>0</v>
      </c>
      <c r="CU116" s="18"/>
      <c r="CV116" s="18"/>
      <c r="CW116" s="18"/>
      <c r="CX116" s="18">
        <f t="shared" si="292"/>
        <v>0</v>
      </c>
      <c r="CY116" s="18">
        <f t="shared" si="292"/>
        <v>0</v>
      </c>
      <c r="CZ116" s="18">
        <f t="shared" si="292"/>
        <v>0</v>
      </c>
      <c r="DA116" s="46">
        <f t="shared" si="292"/>
        <v>0</v>
      </c>
      <c r="DB116" s="85"/>
    </row>
    <row r="117" spans="1:106" ht="31.5" x14ac:dyDescent="0.25">
      <c r="A117" s="72" t="s">
        <v>1</v>
      </c>
      <c r="B117" s="21" t="s">
        <v>104</v>
      </c>
      <c r="C117" s="22" t="s">
        <v>637</v>
      </c>
      <c r="D117" s="18">
        <f>SUM(E117+CA117+CX117)</f>
        <v>1502137</v>
      </c>
      <c r="E117" s="19">
        <f>SUM(F117+BB117)</f>
        <v>1502137</v>
      </c>
      <c r="F117" s="19">
        <f>SUM(G117+H117+I117+P117+S117+T117+U117+AE117)</f>
        <v>1502137</v>
      </c>
      <c r="G117" s="19">
        <v>0</v>
      </c>
      <c r="H117" s="19">
        <v>0</v>
      </c>
      <c r="I117" s="19">
        <f t="shared" si="120"/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f t="shared" si="121"/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f>SUM(V117:AC117)</f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f>SUM(AF117:BA117)</f>
        <v>1502137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>
        <v>0</v>
      </c>
      <c r="AQ117" s="19"/>
      <c r="AR117" s="19">
        <v>0</v>
      </c>
      <c r="AS117" s="19">
        <v>0</v>
      </c>
      <c r="AT117" s="19">
        <v>0</v>
      </c>
      <c r="AU117" s="19">
        <v>0</v>
      </c>
      <c r="AV117" s="19">
        <v>0</v>
      </c>
      <c r="AW117" s="19">
        <v>0</v>
      </c>
      <c r="AX117" s="19">
        <v>0</v>
      </c>
      <c r="AY117" s="19">
        <v>0</v>
      </c>
      <c r="AZ117" s="19">
        <v>0</v>
      </c>
      <c r="BA117" s="23">
        <v>1502137</v>
      </c>
      <c r="BB117" s="19">
        <f>SUM(BC117+BG117+BJ117+BL117+BO117)</f>
        <v>0</v>
      </c>
      <c r="BC117" s="19">
        <f>SUM(BD117:BF117)</f>
        <v>0</v>
      </c>
      <c r="BD117" s="19">
        <v>0</v>
      </c>
      <c r="BE117" s="19">
        <v>0</v>
      </c>
      <c r="BF117" s="19">
        <v>0</v>
      </c>
      <c r="BG117" s="19">
        <f>SUM(BI117:BI117)</f>
        <v>0</v>
      </c>
      <c r="BH117" s="19">
        <v>0</v>
      </c>
      <c r="BI117" s="19">
        <v>0</v>
      </c>
      <c r="BJ117" s="19">
        <v>0</v>
      </c>
      <c r="BK117" s="19">
        <v>0</v>
      </c>
      <c r="BL117" s="19">
        <f t="shared" si="122"/>
        <v>0</v>
      </c>
      <c r="BM117" s="19">
        <v>0</v>
      </c>
      <c r="BN117" s="19">
        <v>0</v>
      </c>
      <c r="BO117" s="19">
        <f>SUM(BP117:BZ117)</f>
        <v>0</v>
      </c>
      <c r="BP117" s="19">
        <v>0</v>
      </c>
      <c r="BQ117" s="19">
        <v>0</v>
      </c>
      <c r="BR117" s="19">
        <v>0</v>
      </c>
      <c r="BS117" s="19">
        <v>0</v>
      </c>
      <c r="BT117" s="19">
        <v>0</v>
      </c>
      <c r="BU117" s="19">
        <v>0</v>
      </c>
      <c r="BV117" s="19">
        <v>0</v>
      </c>
      <c r="BW117" s="19">
        <v>0</v>
      </c>
      <c r="BX117" s="19">
        <v>0</v>
      </c>
      <c r="BY117" s="19">
        <v>0</v>
      </c>
      <c r="BZ117" s="19">
        <v>0</v>
      </c>
      <c r="CA117" s="19">
        <f>SUM(CB117+CT117)</f>
        <v>0</v>
      </c>
      <c r="CB117" s="19">
        <f>SUM(CC117+CF117+CL117)</f>
        <v>0</v>
      </c>
      <c r="CC117" s="19">
        <f t="shared" si="123"/>
        <v>0</v>
      </c>
      <c r="CD117" s="19">
        <v>0</v>
      </c>
      <c r="CE117" s="19">
        <v>0</v>
      </c>
      <c r="CF117" s="19">
        <f>SUM(CG117:CK117)</f>
        <v>0</v>
      </c>
      <c r="CG117" s="19">
        <v>0</v>
      </c>
      <c r="CH117" s="19">
        <v>0</v>
      </c>
      <c r="CI117" s="19">
        <v>0</v>
      </c>
      <c r="CJ117" s="19">
        <v>0</v>
      </c>
      <c r="CK117" s="19">
        <v>0</v>
      </c>
      <c r="CL117" s="19">
        <f>SUM(CM117:CQ117)</f>
        <v>0</v>
      </c>
      <c r="CM117" s="19">
        <v>0</v>
      </c>
      <c r="CN117" s="19">
        <v>0</v>
      </c>
      <c r="CO117" s="19">
        <v>0</v>
      </c>
      <c r="CP117" s="19"/>
      <c r="CQ117" s="19"/>
      <c r="CR117" s="19"/>
      <c r="CS117" s="19"/>
      <c r="CT117" s="19">
        <v>0</v>
      </c>
      <c r="CU117" s="19"/>
      <c r="CV117" s="19"/>
      <c r="CW117" s="19"/>
      <c r="CX117" s="19">
        <f t="shared" si="124"/>
        <v>0</v>
      </c>
      <c r="CY117" s="19">
        <f t="shared" si="125"/>
        <v>0</v>
      </c>
      <c r="CZ117" s="19">
        <v>0</v>
      </c>
      <c r="DA117" s="20">
        <v>0</v>
      </c>
    </row>
    <row r="118" spans="1:106" s="86" customFormat="1" ht="15.75" x14ac:dyDescent="0.25">
      <c r="A118" s="73" t="s">
        <v>213</v>
      </c>
      <c r="B118" s="25" t="s">
        <v>1</v>
      </c>
      <c r="C118" s="26" t="s">
        <v>214</v>
      </c>
      <c r="D118" s="27">
        <f>SUM(D119+D123+D127+D131+D133+D135)</f>
        <v>418038823</v>
      </c>
      <c r="E118" s="27">
        <f t="shared" ref="E118:BU118" si="293">SUM(E119+E123+E127+E131+E133+E135)</f>
        <v>413128066</v>
      </c>
      <c r="F118" s="27">
        <f t="shared" si="293"/>
        <v>375355577</v>
      </c>
      <c r="G118" s="27">
        <f t="shared" si="293"/>
        <v>265033120</v>
      </c>
      <c r="H118" s="27">
        <f t="shared" si="293"/>
        <v>63014100</v>
      </c>
      <c r="I118" s="27">
        <f t="shared" si="293"/>
        <v>28811299</v>
      </c>
      <c r="J118" s="27">
        <f t="shared" si="293"/>
        <v>393486</v>
      </c>
      <c r="K118" s="27">
        <f t="shared" si="293"/>
        <v>2328131</v>
      </c>
      <c r="L118" s="27">
        <f t="shared" si="293"/>
        <v>21904897</v>
      </c>
      <c r="M118" s="27">
        <f t="shared" si="293"/>
        <v>0</v>
      </c>
      <c r="N118" s="27">
        <f t="shared" si="293"/>
        <v>2296349</v>
      </c>
      <c r="O118" s="27">
        <f t="shared" si="293"/>
        <v>1888436</v>
      </c>
      <c r="P118" s="27">
        <f t="shared" si="293"/>
        <v>1646</v>
      </c>
      <c r="Q118" s="27">
        <f t="shared" si="293"/>
        <v>1646</v>
      </c>
      <c r="R118" s="27">
        <f t="shared" si="293"/>
        <v>0</v>
      </c>
      <c r="S118" s="27">
        <f t="shared" si="293"/>
        <v>0</v>
      </c>
      <c r="T118" s="27">
        <f t="shared" si="293"/>
        <v>785965</v>
      </c>
      <c r="U118" s="27">
        <f t="shared" si="293"/>
        <v>10770629</v>
      </c>
      <c r="V118" s="27">
        <f t="shared" si="293"/>
        <v>321105</v>
      </c>
      <c r="W118" s="27">
        <f t="shared" si="293"/>
        <v>7195861</v>
      </c>
      <c r="X118" s="27">
        <f t="shared" si="293"/>
        <v>1806560</v>
      </c>
      <c r="Y118" s="27">
        <f t="shared" si="293"/>
        <v>1007555</v>
      </c>
      <c r="Z118" s="27">
        <f t="shared" si="293"/>
        <v>348719</v>
      </c>
      <c r="AA118" s="27">
        <f t="shared" si="293"/>
        <v>0</v>
      </c>
      <c r="AB118" s="27">
        <f t="shared" si="293"/>
        <v>0</v>
      </c>
      <c r="AC118" s="27">
        <f t="shared" si="293"/>
        <v>90829</v>
      </c>
      <c r="AD118" s="27">
        <f t="shared" ref="AD118" si="294">SUM(AD119+AD123+AD127+AD131+AD133+AD135)</f>
        <v>0</v>
      </c>
      <c r="AE118" s="27">
        <f t="shared" si="293"/>
        <v>6938818</v>
      </c>
      <c r="AF118" s="27">
        <f t="shared" si="293"/>
        <v>0</v>
      </c>
      <c r="AG118" s="27">
        <f t="shared" si="293"/>
        <v>0</v>
      </c>
      <c r="AH118" s="27">
        <f t="shared" si="293"/>
        <v>51603</v>
      </c>
      <c r="AI118" s="27">
        <f t="shared" si="293"/>
        <v>1726628</v>
      </c>
      <c r="AJ118" s="27">
        <f t="shared" si="293"/>
        <v>648906</v>
      </c>
      <c r="AK118" s="27">
        <f t="shared" si="293"/>
        <v>856785</v>
      </c>
      <c r="AL118" s="27">
        <f t="shared" si="293"/>
        <v>0</v>
      </c>
      <c r="AM118" s="27">
        <f t="shared" si="293"/>
        <v>122381</v>
      </c>
      <c r="AN118" s="27">
        <f t="shared" si="293"/>
        <v>367021</v>
      </c>
      <c r="AO118" s="27">
        <f t="shared" si="293"/>
        <v>0</v>
      </c>
      <c r="AP118" s="27">
        <f t="shared" si="293"/>
        <v>10583</v>
      </c>
      <c r="AQ118" s="27"/>
      <c r="AR118" s="27">
        <f t="shared" si="293"/>
        <v>0</v>
      </c>
      <c r="AS118" s="27">
        <f t="shared" si="293"/>
        <v>1202413</v>
      </c>
      <c r="AT118" s="27">
        <f t="shared" si="293"/>
        <v>181659</v>
      </c>
      <c r="AU118" s="27"/>
      <c r="AV118" s="27"/>
      <c r="AW118" s="27">
        <f t="shared" si="293"/>
        <v>0</v>
      </c>
      <c r="AX118" s="27">
        <f t="shared" si="293"/>
        <v>0</v>
      </c>
      <c r="AY118" s="27">
        <f t="shared" si="293"/>
        <v>11720</v>
      </c>
      <c r="AZ118" s="27"/>
      <c r="BA118" s="27">
        <f t="shared" si="293"/>
        <v>1759119</v>
      </c>
      <c r="BB118" s="27">
        <f t="shared" si="293"/>
        <v>37772489</v>
      </c>
      <c r="BC118" s="27">
        <f t="shared" si="293"/>
        <v>0</v>
      </c>
      <c r="BD118" s="27">
        <f t="shared" si="293"/>
        <v>0</v>
      </c>
      <c r="BE118" s="27">
        <f t="shared" si="293"/>
        <v>0</v>
      </c>
      <c r="BF118" s="27">
        <f t="shared" si="293"/>
        <v>0</v>
      </c>
      <c r="BG118" s="27">
        <f t="shared" si="293"/>
        <v>0</v>
      </c>
      <c r="BH118" s="27">
        <f t="shared" si="293"/>
        <v>0</v>
      </c>
      <c r="BI118" s="27">
        <f t="shared" si="293"/>
        <v>0</v>
      </c>
      <c r="BJ118" s="27">
        <f t="shared" si="293"/>
        <v>0</v>
      </c>
      <c r="BK118" s="27">
        <f t="shared" ref="BK118" si="295">SUM(BK119+BK123+BK127+BK131+BK133+BK135)</f>
        <v>0</v>
      </c>
      <c r="BL118" s="27">
        <f t="shared" si="293"/>
        <v>0</v>
      </c>
      <c r="BM118" s="27">
        <f t="shared" si="293"/>
        <v>0</v>
      </c>
      <c r="BN118" s="27">
        <f t="shared" ref="BN118" si="296">SUM(BN119+BN123+BN127+BN131+BN133+BN135)</f>
        <v>0</v>
      </c>
      <c r="BO118" s="27">
        <f t="shared" si="293"/>
        <v>37772489</v>
      </c>
      <c r="BP118" s="27">
        <f t="shared" si="293"/>
        <v>0</v>
      </c>
      <c r="BQ118" s="27">
        <f t="shared" si="293"/>
        <v>0</v>
      </c>
      <c r="BR118" s="27">
        <f t="shared" si="293"/>
        <v>13280817</v>
      </c>
      <c r="BS118" s="27">
        <f t="shared" si="293"/>
        <v>0</v>
      </c>
      <c r="BT118" s="27">
        <f t="shared" si="293"/>
        <v>0</v>
      </c>
      <c r="BU118" s="27">
        <f t="shared" si="293"/>
        <v>328732</v>
      </c>
      <c r="BV118" s="27">
        <f t="shared" ref="BV118:DA118" si="297">SUM(BV119+BV123+BV127+BV131+BV133+BV135)</f>
        <v>0</v>
      </c>
      <c r="BW118" s="27">
        <f t="shared" si="297"/>
        <v>0</v>
      </c>
      <c r="BX118" s="27">
        <f t="shared" si="297"/>
        <v>0</v>
      </c>
      <c r="BY118" s="27">
        <f t="shared" si="297"/>
        <v>12819418</v>
      </c>
      <c r="BZ118" s="27">
        <f t="shared" si="297"/>
        <v>11343522</v>
      </c>
      <c r="CA118" s="27">
        <f t="shared" si="297"/>
        <v>4910757</v>
      </c>
      <c r="CB118" s="27">
        <f t="shared" si="297"/>
        <v>4910757</v>
      </c>
      <c r="CC118" s="27">
        <f t="shared" si="297"/>
        <v>3519306</v>
      </c>
      <c r="CD118" s="27">
        <f t="shared" si="297"/>
        <v>0</v>
      </c>
      <c r="CE118" s="27">
        <f t="shared" si="297"/>
        <v>3519306</v>
      </c>
      <c r="CF118" s="27">
        <f t="shared" si="297"/>
        <v>0</v>
      </c>
      <c r="CG118" s="27">
        <f t="shared" si="297"/>
        <v>0</v>
      </c>
      <c r="CH118" s="27">
        <f t="shared" ref="CH118:CI118" si="298">SUM(CH119+CH123+CH127+CH131+CH133+CH135)</f>
        <v>0</v>
      </c>
      <c r="CI118" s="27">
        <f t="shared" si="298"/>
        <v>0</v>
      </c>
      <c r="CJ118" s="27">
        <f t="shared" si="297"/>
        <v>0</v>
      </c>
      <c r="CK118" s="27">
        <f t="shared" ref="CK118" si="299">SUM(CK119+CK123+CK127+CK131+CK133+CK135)</f>
        <v>0</v>
      </c>
      <c r="CL118" s="27">
        <f t="shared" si="297"/>
        <v>1391451</v>
      </c>
      <c r="CM118" s="27">
        <f t="shared" si="297"/>
        <v>0</v>
      </c>
      <c r="CN118" s="27">
        <f t="shared" ref="CN118" si="300">SUM(CN119+CN123+CN127+CN131+CN133+CN135)</f>
        <v>1391451</v>
      </c>
      <c r="CO118" s="27">
        <f t="shared" si="297"/>
        <v>0</v>
      </c>
      <c r="CP118" s="27"/>
      <c r="CQ118" s="27"/>
      <c r="CR118" s="27"/>
      <c r="CS118" s="27"/>
      <c r="CT118" s="27">
        <f t="shared" si="297"/>
        <v>0</v>
      </c>
      <c r="CU118" s="27"/>
      <c r="CV118" s="27"/>
      <c r="CW118" s="27"/>
      <c r="CX118" s="27">
        <f t="shared" si="297"/>
        <v>0</v>
      </c>
      <c r="CY118" s="27">
        <f t="shared" si="297"/>
        <v>0</v>
      </c>
      <c r="CZ118" s="27">
        <f t="shared" si="297"/>
        <v>0</v>
      </c>
      <c r="DA118" s="55">
        <f t="shared" si="297"/>
        <v>0</v>
      </c>
      <c r="DB118" s="85"/>
    </row>
    <row r="119" spans="1:106" s="86" customFormat="1" ht="15.75" x14ac:dyDescent="0.25">
      <c r="A119" s="71" t="s">
        <v>215</v>
      </c>
      <c r="B119" s="16" t="s">
        <v>1</v>
      </c>
      <c r="C119" s="17" t="s">
        <v>216</v>
      </c>
      <c r="D119" s="18">
        <f>SUM(D120:D122)</f>
        <v>85155438</v>
      </c>
      <c r="E119" s="18">
        <f t="shared" ref="E119:BU119" si="301">SUM(E120:E122)</f>
        <v>83873351</v>
      </c>
      <c r="F119" s="18">
        <f t="shared" si="301"/>
        <v>75016814</v>
      </c>
      <c r="G119" s="18">
        <f t="shared" si="301"/>
        <v>44508624</v>
      </c>
      <c r="H119" s="18">
        <f t="shared" si="301"/>
        <v>10585214</v>
      </c>
      <c r="I119" s="18">
        <f t="shared" si="301"/>
        <v>15049999</v>
      </c>
      <c r="J119" s="18">
        <f t="shared" si="301"/>
        <v>252029</v>
      </c>
      <c r="K119" s="18">
        <f t="shared" si="301"/>
        <v>1040642</v>
      </c>
      <c r="L119" s="18">
        <f t="shared" si="301"/>
        <v>12250544</v>
      </c>
      <c r="M119" s="18">
        <f t="shared" si="301"/>
        <v>0</v>
      </c>
      <c r="N119" s="18">
        <f t="shared" si="301"/>
        <v>717438</v>
      </c>
      <c r="O119" s="18">
        <f t="shared" si="301"/>
        <v>789346</v>
      </c>
      <c r="P119" s="18">
        <f t="shared" si="301"/>
        <v>0</v>
      </c>
      <c r="Q119" s="18">
        <f t="shared" si="301"/>
        <v>0</v>
      </c>
      <c r="R119" s="18">
        <f t="shared" si="301"/>
        <v>0</v>
      </c>
      <c r="S119" s="18">
        <f t="shared" si="301"/>
        <v>0</v>
      </c>
      <c r="T119" s="18">
        <f t="shared" si="301"/>
        <v>109212</v>
      </c>
      <c r="U119" s="18">
        <f t="shared" si="301"/>
        <v>2543584</v>
      </c>
      <c r="V119" s="18">
        <f t="shared" si="301"/>
        <v>115268</v>
      </c>
      <c r="W119" s="18">
        <f t="shared" si="301"/>
        <v>1356108</v>
      </c>
      <c r="X119" s="18">
        <f t="shared" si="301"/>
        <v>518737</v>
      </c>
      <c r="Y119" s="18">
        <f t="shared" si="301"/>
        <v>396545</v>
      </c>
      <c r="Z119" s="18">
        <f t="shared" si="301"/>
        <v>66406</v>
      </c>
      <c r="AA119" s="18">
        <f t="shared" si="301"/>
        <v>0</v>
      </c>
      <c r="AB119" s="18">
        <f t="shared" si="301"/>
        <v>0</v>
      </c>
      <c r="AC119" s="18">
        <f t="shared" si="301"/>
        <v>90520</v>
      </c>
      <c r="AD119" s="18">
        <f t="shared" ref="AD119" si="302">SUM(AD120:AD122)</f>
        <v>0</v>
      </c>
      <c r="AE119" s="18">
        <f t="shared" si="301"/>
        <v>2220181</v>
      </c>
      <c r="AF119" s="18">
        <f t="shared" si="301"/>
        <v>0</v>
      </c>
      <c r="AG119" s="18">
        <f t="shared" si="301"/>
        <v>0</v>
      </c>
      <c r="AH119" s="18">
        <f t="shared" si="301"/>
        <v>16095</v>
      </c>
      <c r="AI119" s="18">
        <f t="shared" si="301"/>
        <v>774173</v>
      </c>
      <c r="AJ119" s="18">
        <f t="shared" si="301"/>
        <v>138869</v>
      </c>
      <c r="AK119" s="18">
        <f t="shared" si="301"/>
        <v>371035</v>
      </c>
      <c r="AL119" s="18">
        <f t="shared" si="301"/>
        <v>0</v>
      </c>
      <c r="AM119" s="18">
        <f t="shared" si="301"/>
        <v>92740</v>
      </c>
      <c r="AN119" s="18">
        <f t="shared" si="301"/>
        <v>12852</v>
      </c>
      <c r="AO119" s="18">
        <f t="shared" si="301"/>
        <v>0</v>
      </c>
      <c r="AP119" s="18">
        <f t="shared" si="301"/>
        <v>2847</v>
      </c>
      <c r="AQ119" s="18"/>
      <c r="AR119" s="18">
        <f t="shared" si="301"/>
        <v>0</v>
      </c>
      <c r="AS119" s="18">
        <f t="shared" si="301"/>
        <v>591426</v>
      </c>
      <c r="AT119" s="18">
        <f t="shared" si="301"/>
        <v>31572</v>
      </c>
      <c r="AU119" s="18"/>
      <c r="AV119" s="18"/>
      <c r="AW119" s="18">
        <f t="shared" si="301"/>
        <v>0</v>
      </c>
      <c r="AX119" s="18">
        <f t="shared" si="301"/>
        <v>0</v>
      </c>
      <c r="AY119" s="18">
        <f t="shared" si="301"/>
        <v>0</v>
      </c>
      <c r="AZ119" s="18"/>
      <c r="BA119" s="18">
        <f t="shared" si="301"/>
        <v>188572</v>
      </c>
      <c r="BB119" s="18">
        <f t="shared" si="301"/>
        <v>8856537</v>
      </c>
      <c r="BC119" s="18">
        <f t="shared" si="301"/>
        <v>0</v>
      </c>
      <c r="BD119" s="18">
        <f t="shared" si="301"/>
        <v>0</v>
      </c>
      <c r="BE119" s="18">
        <f t="shared" si="301"/>
        <v>0</v>
      </c>
      <c r="BF119" s="18">
        <f t="shared" si="301"/>
        <v>0</v>
      </c>
      <c r="BG119" s="18">
        <f t="shared" si="301"/>
        <v>0</v>
      </c>
      <c r="BH119" s="18">
        <f t="shared" si="301"/>
        <v>0</v>
      </c>
      <c r="BI119" s="18">
        <f t="shared" si="301"/>
        <v>0</v>
      </c>
      <c r="BJ119" s="18">
        <f t="shared" si="301"/>
        <v>0</v>
      </c>
      <c r="BK119" s="18">
        <f t="shared" ref="BK119" si="303">SUM(BK120:BK122)</f>
        <v>0</v>
      </c>
      <c r="BL119" s="18">
        <f t="shared" si="301"/>
        <v>0</v>
      </c>
      <c r="BM119" s="18">
        <f t="shared" si="301"/>
        <v>0</v>
      </c>
      <c r="BN119" s="18">
        <f t="shared" ref="BN119" si="304">SUM(BN120:BN122)</f>
        <v>0</v>
      </c>
      <c r="BO119" s="18">
        <f t="shared" si="301"/>
        <v>8856537</v>
      </c>
      <c r="BP119" s="18">
        <f t="shared" si="301"/>
        <v>0</v>
      </c>
      <c r="BQ119" s="18">
        <f t="shared" si="301"/>
        <v>0</v>
      </c>
      <c r="BR119" s="18">
        <f t="shared" si="301"/>
        <v>0</v>
      </c>
      <c r="BS119" s="18">
        <f t="shared" si="301"/>
        <v>0</v>
      </c>
      <c r="BT119" s="18">
        <f t="shared" si="301"/>
        <v>0</v>
      </c>
      <c r="BU119" s="18">
        <f t="shared" si="301"/>
        <v>328732</v>
      </c>
      <c r="BV119" s="18">
        <f t="shared" ref="BV119:DA119" si="305">SUM(BV120:BV122)</f>
        <v>0</v>
      </c>
      <c r="BW119" s="18">
        <f t="shared" si="305"/>
        <v>0</v>
      </c>
      <c r="BX119" s="18">
        <f t="shared" si="305"/>
        <v>0</v>
      </c>
      <c r="BY119" s="18">
        <f t="shared" si="305"/>
        <v>0</v>
      </c>
      <c r="BZ119" s="18">
        <f t="shared" si="305"/>
        <v>8527805</v>
      </c>
      <c r="CA119" s="18">
        <f t="shared" si="305"/>
        <v>1282087</v>
      </c>
      <c r="CB119" s="18">
        <f t="shared" si="305"/>
        <v>1282087</v>
      </c>
      <c r="CC119" s="18">
        <f t="shared" si="305"/>
        <v>712719</v>
      </c>
      <c r="CD119" s="18">
        <f t="shared" si="305"/>
        <v>0</v>
      </c>
      <c r="CE119" s="18">
        <f t="shared" si="305"/>
        <v>712719</v>
      </c>
      <c r="CF119" s="18">
        <f t="shared" si="305"/>
        <v>0</v>
      </c>
      <c r="CG119" s="18">
        <f t="shared" si="305"/>
        <v>0</v>
      </c>
      <c r="CH119" s="18">
        <f t="shared" ref="CH119:CI119" si="306">SUM(CH120:CH122)</f>
        <v>0</v>
      </c>
      <c r="CI119" s="18">
        <f t="shared" si="306"/>
        <v>0</v>
      </c>
      <c r="CJ119" s="18">
        <f t="shared" si="305"/>
        <v>0</v>
      </c>
      <c r="CK119" s="18">
        <f t="shared" ref="CK119" si="307">SUM(CK120:CK122)</f>
        <v>0</v>
      </c>
      <c r="CL119" s="18">
        <f t="shared" si="305"/>
        <v>569368</v>
      </c>
      <c r="CM119" s="18">
        <f t="shared" si="305"/>
        <v>0</v>
      </c>
      <c r="CN119" s="18">
        <f t="shared" ref="CN119" si="308">SUM(CN120:CN122)</f>
        <v>569368</v>
      </c>
      <c r="CO119" s="18">
        <f t="shared" si="305"/>
        <v>0</v>
      </c>
      <c r="CP119" s="18"/>
      <c r="CQ119" s="18"/>
      <c r="CR119" s="18"/>
      <c r="CS119" s="18"/>
      <c r="CT119" s="18">
        <f t="shared" si="305"/>
        <v>0</v>
      </c>
      <c r="CU119" s="18"/>
      <c r="CV119" s="18"/>
      <c r="CW119" s="18"/>
      <c r="CX119" s="18">
        <f t="shared" si="305"/>
        <v>0</v>
      </c>
      <c r="CY119" s="18">
        <f t="shared" si="305"/>
        <v>0</v>
      </c>
      <c r="CZ119" s="18">
        <f t="shared" si="305"/>
        <v>0</v>
      </c>
      <c r="DA119" s="46">
        <f t="shared" si="305"/>
        <v>0</v>
      </c>
      <c r="DB119" s="85"/>
    </row>
    <row r="120" spans="1:106" ht="15.75" x14ac:dyDescent="0.25">
      <c r="A120" s="72" t="s">
        <v>1</v>
      </c>
      <c r="B120" s="21" t="s">
        <v>82</v>
      </c>
      <c r="C120" s="22" t="s">
        <v>217</v>
      </c>
      <c r="D120" s="18">
        <f>SUM(E120+CA120+CX120)</f>
        <v>27862612</v>
      </c>
      <c r="E120" s="19">
        <f>SUM(F120+BB120)</f>
        <v>27714929</v>
      </c>
      <c r="F120" s="19">
        <f t="shared" ref="F120:F122" si="309">SUM(G120+H120+I120+P120+S120+T120+U120+AE120)</f>
        <v>22833301</v>
      </c>
      <c r="G120" s="23">
        <f>9722108+2227983</f>
        <v>11950091</v>
      </c>
      <c r="H120" s="23">
        <f>2360780+541012</f>
        <v>2901792</v>
      </c>
      <c r="I120" s="19">
        <f t="shared" si="120"/>
        <v>6354287</v>
      </c>
      <c r="J120" s="23">
        <v>71191</v>
      </c>
      <c r="K120" s="23">
        <f>583117-84221</f>
        <v>498896</v>
      </c>
      <c r="L120" s="23">
        <v>5081579</v>
      </c>
      <c r="M120" s="23">
        <v>0</v>
      </c>
      <c r="N120" s="23">
        <v>444329</v>
      </c>
      <c r="O120" s="23">
        <v>258292</v>
      </c>
      <c r="P120" s="19">
        <f t="shared" si="121"/>
        <v>0</v>
      </c>
      <c r="Q120" s="19">
        <v>0</v>
      </c>
      <c r="R120" s="19">
        <v>0</v>
      </c>
      <c r="S120" s="19">
        <v>0</v>
      </c>
      <c r="T120" s="23">
        <v>17734</v>
      </c>
      <c r="U120" s="19">
        <f t="shared" ref="U120:U122" si="310">SUM(V120:AC120)</f>
        <v>939252</v>
      </c>
      <c r="V120" s="23">
        <v>43071</v>
      </c>
      <c r="W120" s="23">
        <f>421497+73964</f>
        <v>495461</v>
      </c>
      <c r="X120" s="23">
        <f>176864+10257+4863</f>
        <v>191984</v>
      </c>
      <c r="Y120" s="23">
        <f>152827-1076</f>
        <v>151751</v>
      </c>
      <c r="Z120" s="23">
        <v>17871</v>
      </c>
      <c r="AA120" s="23">
        <v>0</v>
      </c>
      <c r="AB120" s="23">
        <v>0</v>
      </c>
      <c r="AC120" s="23">
        <v>39114</v>
      </c>
      <c r="AD120" s="19">
        <v>0</v>
      </c>
      <c r="AE120" s="19">
        <f>SUM(AF120:BA120)</f>
        <v>670145</v>
      </c>
      <c r="AF120" s="19">
        <v>0</v>
      </c>
      <c r="AG120" s="19">
        <v>0</v>
      </c>
      <c r="AH120" s="23">
        <v>15240</v>
      </c>
      <c r="AI120" s="23">
        <v>317066</v>
      </c>
      <c r="AJ120" s="23">
        <v>0</v>
      </c>
      <c r="AK120" s="23">
        <v>14591</v>
      </c>
      <c r="AL120" s="23">
        <v>0</v>
      </c>
      <c r="AM120" s="23">
        <v>4200</v>
      </c>
      <c r="AN120" s="23">
        <v>6235</v>
      </c>
      <c r="AO120" s="23">
        <v>0</v>
      </c>
      <c r="AP120" s="23">
        <v>2847</v>
      </c>
      <c r="AQ120" s="23"/>
      <c r="AR120" s="23">
        <v>0</v>
      </c>
      <c r="AS120" s="23">
        <f>254842-11402</f>
        <v>243440</v>
      </c>
      <c r="AT120" s="23">
        <v>0</v>
      </c>
      <c r="AU120" s="23">
        <v>0</v>
      </c>
      <c r="AV120" s="23">
        <v>0</v>
      </c>
      <c r="AW120" s="23">
        <v>0</v>
      </c>
      <c r="AX120" s="23">
        <v>0</v>
      </c>
      <c r="AY120" s="23">
        <v>0</v>
      </c>
      <c r="AZ120" s="23">
        <v>0</v>
      </c>
      <c r="BA120" s="23">
        <v>66526</v>
      </c>
      <c r="BB120" s="19">
        <f>SUM(BC120+BG120+BJ120+BL120+BO120)</f>
        <v>4881628</v>
      </c>
      <c r="BC120" s="19">
        <f>SUM(BD120:BF120)</f>
        <v>0</v>
      </c>
      <c r="BD120" s="19">
        <v>0</v>
      </c>
      <c r="BE120" s="19">
        <v>0</v>
      </c>
      <c r="BF120" s="19">
        <v>0</v>
      </c>
      <c r="BG120" s="19">
        <f>SUM(BI120:BI120)</f>
        <v>0</v>
      </c>
      <c r="BH120" s="19">
        <v>0</v>
      </c>
      <c r="BI120" s="19">
        <v>0</v>
      </c>
      <c r="BJ120" s="19">
        <v>0</v>
      </c>
      <c r="BK120" s="19">
        <v>0</v>
      </c>
      <c r="BL120" s="19">
        <f t="shared" si="122"/>
        <v>0</v>
      </c>
      <c r="BM120" s="19">
        <v>0</v>
      </c>
      <c r="BN120" s="19">
        <v>0</v>
      </c>
      <c r="BO120" s="19">
        <f>SUM(BP120:BZ120)</f>
        <v>4881628</v>
      </c>
      <c r="BP120" s="19">
        <v>0</v>
      </c>
      <c r="BQ120" s="19">
        <v>0</v>
      </c>
      <c r="BR120" s="19">
        <v>0</v>
      </c>
      <c r="BS120" s="19">
        <v>0</v>
      </c>
      <c r="BT120" s="19">
        <v>0</v>
      </c>
      <c r="BU120" s="24">
        <v>176473</v>
      </c>
      <c r="BV120" s="19">
        <v>0</v>
      </c>
      <c r="BW120" s="19">
        <v>0</v>
      </c>
      <c r="BX120" s="19">
        <v>0</v>
      </c>
      <c r="BY120" s="19">
        <v>0</v>
      </c>
      <c r="BZ120" s="23">
        <f>4695495+9660</f>
        <v>4705155</v>
      </c>
      <c r="CA120" s="19">
        <f>SUM(CB120+CT120)</f>
        <v>147683</v>
      </c>
      <c r="CB120" s="19">
        <f>SUM(CC120+CF120+CL120)</f>
        <v>147683</v>
      </c>
      <c r="CC120" s="19">
        <f t="shared" si="123"/>
        <v>147683</v>
      </c>
      <c r="CD120" s="19">
        <v>0</v>
      </c>
      <c r="CE120" s="23">
        <v>147683</v>
      </c>
      <c r="CF120" s="19">
        <f t="shared" ref="CF120:CF122" si="311">SUM(CG120:CK120)</f>
        <v>0</v>
      </c>
      <c r="CG120" s="19">
        <v>0</v>
      </c>
      <c r="CH120" s="19">
        <v>0</v>
      </c>
      <c r="CI120" s="19">
        <v>0</v>
      </c>
      <c r="CJ120" s="19">
        <v>0</v>
      </c>
      <c r="CK120" s="19">
        <v>0</v>
      </c>
      <c r="CL120" s="19">
        <f>SUM(CM120:CQ120)</f>
        <v>0</v>
      </c>
      <c r="CM120" s="19">
        <v>0</v>
      </c>
      <c r="CN120" s="19">
        <v>0</v>
      </c>
      <c r="CO120" s="19">
        <v>0</v>
      </c>
      <c r="CP120" s="19"/>
      <c r="CQ120" s="19"/>
      <c r="CR120" s="19"/>
      <c r="CS120" s="19"/>
      <c r="CT120" s="19">
        <v>0</v>
      </c>
      <c r="CU120" s="19"/>
      <c r="CV120" s="19"/>
      <c r="CW120" s="19"/>
      <c r="CX120" s="19">
        <f t="shared" si="124"/>
        <v>0</v>
      </c>
      <c r="CY120" s="19">
        <f t="shared" si="125"/>
        <v>0</v>
      </c>
      <c r="CZ120" s="19">
        <v>0</v>
      </c>
      <c r="DA120" s="20">
        <v>0</v>
      </c>
    </row>
    <row r="121" spans="1:106" ht="15.75" x14ac:dyDescent="0.25">
      <c r="A121" s="72" t="s">
        <v>1</v>
      </c>
      <c r="B121" s="21" t="s">
        <v>82</v>
      </c>
      <c r="C121" s="22" t="s">
        <v>218</v>
      </c>
      <c r="D121" s="18">
        <f>SUM(E121+CA121+CX121)</f>
        <v>45258046</v>
      </c>
      <c r="E121" s="19">
        <f>SUM(F121+BB121)</f>
        <v>44165757</v>
      </c>
      <c r="F121" s="19">
        <f t="shared" si="309"/>
        <v>40210168</v>
      </c>
      <c r="G121" s="23">
        <f>19473124+4462591</f>
        <v>23935715</v>
      </c>
      <c r="H121" s="23">
        <f>4542897+1041080</f>
        <v>5583977</v>
      </c>
      <c r="I121" s="19">
        <f t="shared" si="120"/>
        <v>8173549</v>
      </c>
      <c r="J121" s="23">
        <v>173545</v>
      </c>
      <c r="K121" s="23">
        <f>680032-139480</f>
        <v>540552</v>
      </c>
      <c r="L121" s="23">
        <f>6584465+129170</f>
        <v>6713635</v>
      </c>
      <c r="M121" s="23">
        <v>0</v>
      </c>
      <c r="N121" s="23">
        <v>273109</v>
      </c>
      <c r="O121" s="23">
        <v>472708</v>
      </c>
      <c r="P121" s="19">
        <f t="shared" si="121"/>
        <v>0</v>
      </c>
      <c r="Q121" s="19">
        <v>0</v>
      </c>
      <c r="R121" s="19">
        <v>0</v>
      </c>
      <c r="S121" s="19">
        <v>0</v>
      </c>
      <c r="T121" s="23">
        <v>29475</v>
      </c>
      <c r="U121" s="19">
        <f t="shared" si="310"/>
        <v>1043232</v>
      </c>
      <c r="V121" s="23">
        <v>42558</v>
      </c>
      <c r="W121" s="23">
        <f>459148+4593+24534+9135</f>
        <v>497410</v>
      </c>
      <c r="X121" s="23">
        <f>212942+4946+9955</f>
        <v>227843</v>
      </c>
      <c r="Y121" s="23">
        <f>214030-21014</f>
        <v>193016</v>
      </c>
      <c r="Z121" s="23">
        <v>30999</v>
      </c>
      <c r="AA121" s="23">
        <v>0</v>
      </c>
      <c r="AB121" s="23">
        <v>0</v>
      </c>
      <c r="AC121" s="23">
        <v>51406</v>
      </c>
      <c r="AD121" s="19">
        <v>0</v>
      </c>
      <c r="AE121" s="19">
        <f>SUM(AF121:BA121)</f>
        <v>1444220</v>
      </c>
      <c r="AF121" s="19">
        <v>0</v>
      </c>
      <c r="AG121" s="19">
        <v>0</v>
      </c>
      <c r="AH121" s="23">
        <v>481</v>
      </c>
      <c r="AI121" s="23">
        <v>457107</v>
      </c>
      <c r="AJ121" s="23">
        <f>145177-6308</f>
        <v>138869</v>
      </c>
      <c r="AK121" s="23">
        <v>355754</v>
      </c>
      <c r="AL121" s="23">
        <v>0</v>
      </c>
      <c r="AM121" s="23">
        <v>80465</v>
      </c>
      <c r="AN121" s="23">
        <v>6617</v>
      </c>
      <c r="AO121" s="23">
        <v>0</v>
      </c>
      <c r="AP121" s="23">
        <v>0</v>
      </c>
      <c r="AQ121" s="23"/>
      <c r="AR121" s="23">
        <v>0</v>
      </c>
      <c r="AS121" s="23">
        <f>280468-19170</f>
        <v>261298</v>
      </c>
      <c r="AT121" s="23">
        <v>31572</v>
      </c>
      <c r="AU121" s="23">
        <v>0</v>
      </c>
      <c r="AV121" s="23">
        <v>0</v>
      </c>
      <c r="AW121" s="23">
        <v>0</v>
      </c>
      <c r="AX121" s="23">
        <v>0</v>
      </c>
      <c r="AY121" s="23">
        <v>0</v>
      </c>
      <c r="AZ121" s="23">
        <v>0</v>
      </c>
      <c r="BA121" s="23">
        <v>112057</v>
      </c>
      <c r="BB121" s="19">
        <f>SUM(BC121+BG121+BJ121+BL121+BO121)</f>
        <v>3955589</v>
      </c>
      <c r="BC121" s="19">
        <f>SUM(BD121:BF121)</f>
        <v>0</v>
      </c>
      <c r="BD121" s="19">
        <v>0</v>
      </c>
      <c r="BE121" s="19">
        <v>0</v>
      </c>
      <c r="BF121" s="19">
        <v>0</v>
      </c>
      <c r="BG121" s="19">
        <f>SUM(BI121:BI121)</f>
        <v>0</v>
      </c>
      <c r="BH121" s="19">
        <v>0</v>
      </c>
      <c r="BI121" s="19">
        <v>0</v>
      </c>
      <c r="BJ121" s="19">
        <v>0</v>
      </c>
      <c r="BK121" s="19">
        <v>0</v>
      </c>
      <c r="BL121" s="19">
        <f t="shared" si="122"/>
        <v>0</v>
      </c>
      <c r="BM121" s="19">
        <v>0</v>
      </c>
      <c r="BN121" s="19">
        <v>0</v>
      </c>
      <c r="BO121" s="19">
        <f>SUM(BP121:BZ121)</f>
        <v>3955589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  <c r="BU121" s="24">
        <v>152259</v>
      </c>
      <c r="BV121" s="19">
        <v>0</v>
      </c>
      <c r="BW121" s="19">
        <v>0</v>
      </c>
      <c r="BX121" s="19">
        <v>0</v>
      </c>
      <c r="BY121" s="19">
        <v>0</v>
      </c>
      <c r="BZ121" s="23">
        <f>3738930+64400</f>
        <v>3803330</v>
      </c>
      <c r="CA121" s="19">
        <f>SUM(CB121+CT121)</f>
        <v>1092289</v>
      </c>
      <c r="CB121" s="19">
        <f>SUM(CC121+CF121+CL121)</f>
        <v>1092289</v>
      </c>
      <c r="CC121" s="19">
        <f t="shared" si="123"/>
        <v>522921</v>
      </c>
      <c r="CD121" s="19">
        <v>0</v>
      </c>
      <c r="CE121" s="23">
        <v>522921</v>
      </c>
      <c r="CF121" s="19">
        <f t="shared" si="311"/>
        <v>0</v>
      </c>
      <c r="CG121" s="19">
        <v>0</v>
      </c>
      <c r="CH121" s="19">
        <v>0</v>
      </c>
      <c r="CI121" s="19">
        <v>0</v>
      </c>
      <c r="CJ121" s="19">
        <v>0</v>
      </c>
      <c r="CK121" s="19">
        <v>0</v>
      </c>
      <c r="CL121" s="19">
        <f>SUM(CM121:CQ121)</f>
        <v>569368</v>
      </c>
      <c r="CM121" s="23"/>
      <c r="CN121" s="23">
        <v>569368</v>
      </c>
      <c r="CO121" s="19">
        <v>0</v>
      </c>
      <c r="CP121" s="19"/>
      <c r="CQ121" s="19"/>
      <c r="CR121" s="19"/>
      <c r="CS121" s="19"/>
      <c r="CT121" s="19">
        <v>0</v>
      </c>
      <c r="CU121" s="19"/>
      <c r="CV121" s="19"/>
      <c r="CW121" s="19"/>
      <c r="CX121" s="19">
        <f t="shared" si="124"/>
        <v>0</v>
      </c>
      <c r="CY121" s="19">
        <f t="shared" si="125"/>
        <v>0</v>
      </c>
      <c r="CZ121" s="19">
        <v>0</v>
      </c>
      <c r="DA121" s="20">
        <v>0</v>
      </c>
    </row>
    <row r="122" spans="1:106" ht="15.75" x14ac:dyDescent="0.25">
      <c r="A122" s="72" t="s">
        <v>1</v>
      </c>
      <c r="B122" s="21" t="s">
        <v>86</v>
      </c>
      <c r="C122" s="22" t="s">
        <v>219</v>
      </c>
      <c r="D122" s="18">
        <f>SUM(E122+CA122+CX122)</f>
        <v>12034780</v>
      </c>
      <c r="E122" s="19">
        <f>SUM(F122+BB122)</f>
        <v>11992665</v>
      </c>
      <c r="F122" s="19">
        <f t="shared" si="309"/>
        <v>11973345</v>
      </c>
      <c r="G122" s="23">
        <f>7299920+1672898-350000</f>
        <v>8622818</v>
      </c>
      <c r="H122" s="23">
        <f>1708023+391422</f>
        <v>2099445</v>
      </c>
      <c r="I122" s="19">
        <f t="shared" si="120"/>
        <v>522163</v>
      </c>
      <c r="J122" s="23">
        <v>7293</v>
      </c>
      <c r="K122" s="23">
        <v>1194</v>
      </c>
      <c r="L122" s="23">
        <v>455330</v>
      </c>
      <c r="M122" s="23">
        <v>0</v>
      </c>
      <c r="N122" s="23">
        <v>0</v>
      </c>
      <c r="O122" s="23">
        <v>58346</v>
      </c>
      <c r="P122" s="19">
        <f t="shared" si="121"/>
        <v>0</v>
      </c>
      <c r="Q122" s="19">
        <v>0</v>
      </c>
      <c r="R122" s="24"/>
      <c r="S122" s="19">
        <v>0</v>
      </c>
      <c r="T122" s="23">
        <v>62003</v>
      </c>
      <c r="U122" s="19">
        <f t="shared" si="310"/>
        <v>561100</v>
      </c>
      <c r="V122" s="23">
        <f>29639</f>
        <v>29639</v>
      </c>
      <c r="W122" s="23">
        <f>346817+16420</f>
        <v>363237</v>
      </c>
      <c r="X122" s="23">
        <f>89030+9880</f>
        <v>98910</v>
      </c>
      <c r="Y122" s="23">
        <v>51778</v>
      </c>
      <c r="Z122" s="23">
        <v>17536</v>
      </c>
      <c r="AA122" s="23">
        <v>0</v>
      </c>
      <c r="AB122" s="23">
        <v>0</v>
      </c>
      <c r="AC122" s="23">
        <v>0</v>
      </c>
      <c r="AD122" s="19">
        <v>0</v>
      </c>
      <c r="AE122" s="19">
        <f>SUM(AF122:BA122)</f>
        <v>105816</v>
      </c>
      <c r="AF122" s="19">
        <v>0</v>
      </c>
      <c r="AG122" s="19">
        <v>0</v>
      </c>
      <c r="AH122" s="23">
        <v>374</v>
      </c>
      <c r="AI122" s="23">
        <v>0</v>
      </c>
      <c r="AJ122" s="23">
        <v>0</v>
      </c>
      <c r="AK122" s="23">
        <v>690</v>
      </c>
      <c r="AL122" s="23">
        <v>0</v>
      </c>
      <c r="AM122" s="23">
        <v>8075</v>
      </c>
      <c r="AN122" s="23">
        <v>0</v>
      </c>
      <c r="AO122" s="23">
        <v>0</v>
      </c>
      <c r="AP122" s="23">
        <v>0</v>
      </c>
      <c r="AQ122" s="23"/>
      <c r="AR122" s="23">
        <v>0</v>
      </c>
      <c r="AS122" s="23">
        <v>86688</v>
      </c>
      <c r="AT122" s="23">
        <v>0</v>
      </c>
      <c r="AU122" s="23">
        <v>0</v>
      </c>
      <c r="AV122" s="23">
        <v>0</v>
      </c>
      <c r="AW122" s="23">
        <v>0</v>
      </c>
      <c r="AX122" s="23">
        <v>0</v>
      </c>
      <c r="AY122" s="23">
        <v>0</v>
      </c>
      <c r="AZ122" s="23">
        <v>0</v>
      </c>
      <c r="BA122" s="23">
        <v>9989</v>
      </c>
      <c r="BB122" s="19">
        <f>SUM(BC122+BG122+BJ122+BL122+BO122)</f>
        <v>19320</v>
      </c>
      <c r="BC122" s="19">
        <f>SUM(BD122:BF122)</f>
        <v>0</v>
      </c>
      <c r="BD122" s="19">
        <v>0</v>
      </c>
      <c r="BE122" s="19">
        <v>0</v>
      </c>
      <c r="BF122" s="19">
        <v>0</v>
      </c>
      <c r="BG122" s="19">
        <f>SUM(BI122:BI122)</f>
        <v>0</v>
      </c>
      <c r="BH122" s="19">
        <v>0</v>
      </c>
      <c r="BI122" s="19">
        <v>0</v>
      </c>
      <c r="BJ122" s="19">
        <v>0</v>
      </c>
      <c r="BK122" s="19">
        <v>0</v>
      </c>
      <c r="BL122" s="19">
        <f t="shared" si="122"/>
        <v>0</v>
      </c>
      <c r="BM122" s="19">
        <v>0</v>
      </c>
      <c r="BN122" s="19">
        <v>0</v>
      </c>
      <c r="BO122" s="19">
        <f>SUM(BP122:BZ122)</f>
        <v>19320</v>
      </c>
      <c r="BP122" s="19">
        <v>0</v>
      </c>
      <c r="BQ122" s="19">
        <v>0</v>
      </c>
      <c r="BR122" s="19">
        <v>0</v>
      </c>
      <c r="BS122" s="19">
        <v>0</v>
      </c>
      <c r="BT122" s="19">
        <v>0</v>
      </c>
      <c r="BU122" s="19">
        <v>0</v>
      </c>
      <c r="BV122" s="19">
        <v>0</v>
      </c>
      <c r="BW122" s="19">
        <v>0</v>
      </c>
      <c r="BX122" s="19">
        <v>0</v>
      </c>
      <c r="BY122" s="19">
        <v>0</v>
      </c>
      <c r="BZ122" s="19">
        <f>0+19320</f>
        <v>19320</v>
      </c>
      <c r="CA122" s="19">
        <f>SUM(CB122+CT122)</f>
        <v>42115</v>
      </c>
      <c r="CB122" s="19">
        <f>SUM(CC122+CF122+CL122)</f>
        <v>42115</v>
      </c>
      <c r="CC122" s="19">
        <f t="shared" si="123"/>
        <v>42115</v>
      </c>
      <c r="CD122" s="19">
        <v>0</v>
      </c>
      <c r="CE122" s="23">
        <f>42115</f>
        <v>42115</v>
      </c>
      <c r="CF122" s="19">
        <f t="shared" si="311"/>
        <v>0</v>
      </c>
      <c r="CG122" s="19">
        <v>0</v>
      </c>
      <c r="CH122" s="19">
        <v>0</v>
      </c>
      <c r="CI122" s="19">
        <v>0</v>
      </c>
      <c r="CJ122" s="19">
        <v>0</v>
      </c>
      <c r="CK122" s="19">
        <v>0</v>
      </c>
      <c r="CL122" s="19">
        <f>SUM(CM122:CQ122)</f>
        <v>0</v>
      </c>
      <c r="CM122" s="19">
        <v>0</v>
      </c>
      <c r="CN122" s="19">
        <v>0</v>
      </c>
      <c r="CO122" s="19">
        <v>0</v>
      </c>
      <c r="CP122" s="19"/>
      <c r="CQ122" s="19"/>
      <c r="CR122" s="19"/>
      <c r="CS122" s="19"/>
      <c r="CT122" s="19">
        <v>0</v>
      </c>
      <c r="CU122" s="19"/>
      <c r="CV122" s="19"/>
      <c r="CW122" s="19"/>
      <c r="CX122" s="19">
        <f t="shared" si="124"/>
        <v>0</v>
      </c>
      <c r="CY122" s="19">
        <f t="shared" si="125"/>
        <v>0</v>
      </c>
      <c r="CZ122" s="19">
        <v>0</v>
      </c>
      <c r="DA122" s="20">
        <v>0</v>
      </c>
    </row>
    <row r="123" spans="1:106" s="86" customFormat="1" ht="15.75" x14ac:dyDescent="0.25">
      <c r="A123" s="71" t="s">
        <v>220</v>
      </c>
      <c r="B123" s="16" t="s">
        <v>1</v>
      </c>
      <c r="C123" s="17" t="s">
        <v>221</v>
      </c>
      <c r="D123" s="18">
        <f>SUM(D124:D126)</f>
        <v>143575205</v>
      </c>
      <c r="E123" s="18">
        <f t="shared" ref="E123:BU123" si="312">SUM(E124:E126)</f>
        <v>140426870</v>
      </c>
      <c r="F123" s="18">
        <f t="shared" si="312"/>
        <v>125350366</v>
      </c>
      <c r="G123" s="18">
        <f t="shared" si="312"/>
        <v>86475874</v>
      </c>
      <c r="H123" s="18">
        <f t="shared" si="312"/>
        <v>20808664</v>
      </c>
      <c r="I123" s="18">
        <f t="shared" si="312"/>
        <v>9336239</v>
      </c>
      <c r="J123" s="18">
        <f t="shared" si="312"/>
        <v>112283</v>
      </c>
      <c r="K123" s="18">
        <f t="shared" si="312"/>
        <v>1080339</v>
      </c>
      <c r="L123" s="18">
        <f t="shared" si="312"/>
        <v>6326978</v>
      </c>
      <c r="M123" s="18">
        <f t="shared" si="312"/>
        <v>0</v>
      </c>
      <c r="N123" s="18">
        <f t="shared" si="312"/>
        <v>1174217</v>
      </c>
      <c r="O123" s="18">
        <f t="shared" si="312"/>
        <v>642422</v>
      </c>
      <c r="P123" s="18">
        <f t="shared" si="312"/>
        <v>750</v>
      </c>
      <c r="Q123" s="18">
        <f t="shared" si="312"/>
        <v>750</v>
      </c>
      <c r="R123" s="18">
        <f t="shared" si="312"/>
        <v>0</v>
      </c>
      <c r="S123" s="18">
        <f t="shared" si="312"/>
        <v>0</v>
      </c>
      <c r="T123" s="18">
        <f t="shared" si="312"/>
        <v>260323</v>
      </c>
      <c r="U123" s="18">
        <f t="shared" si="312"/>
        <v>5112194</v>
      </c>
      <c r="V123" s="18">
        <f t="shared" si="312"/>
        <v>184717</v>
      </c>
      <c r="W123" s="18">
        <f t="shared" si="312"/>
        <v>3717511</v>
      </c>
      <c r="X123" s="18">
        <f t="shared" si="312"/>
        <v>754387</v>
      </c>
      <c r="Y123" s="18">
        <f t="shared" si="312"/>
        <v>374648</v>
      </c>
      <c r="Z123" s="18">
        <f t="shared" si="312"/>
        <v>80785</v>
      </c>
      <c r="AA123" s="18">
        <f t="shared" si="312"/>
        <v>0</v>
      </c>
      <c r="AB123" s="18">
        <f t="shared" si="312"/>
        <v>0</v>
      </c>
      <c r="AC123" s="18">
        <f t="shared" si="312"/>
        <v>146</v>
      </c>
      <c r="AD123" s="18">
        <f t="shared" ref="AD123" si="313">SUM(AD124:AD126)</f>
        <v>0</v>
      </c>
      <c r="AE123" s="18">
        <f t="shared" si="312"/>
        <v>3356322</v>
      </c>
      <c r="AF123" s="18">
        <f t="shared" si="312"/>
        <v>0</v>
      </c>
      <c r="AG123" s="18">
        <f t="shared" si="312"/>
        <v>0</v>
      </c>
      <c r="AH123" s="18">
        <f t="shared" si="312"/>
        <v>26437</v>
      </c>
      <c r="AI123" s="18">
        <f t="shared" si="312"/>
        <v>870082</v>
      </c>
      <c r="AJ123" s="18">
        <f t="shared" si="312"/>
        <v>273848</v>
      </c>
      <c r="AK123" s="18">
        <f t="shared" si="312"/>
        <v>462923</v>
      </c>
      <c r="AL123" s="18">
        <f t="shared" si="312"/>
        <v>0</v>
      </c>
      <c r="AM123" s="18">
        <f t="shared" si="312"/>
        <v>5709</v>
      </c>
      <c r="AN123" s="18">
        <f t="shared" si="312"/>
        <v>27919</v>
      </c>
      <c r="AO123" s="18">
        <f t="shared" si="312"/>
        <v>0</v>
      </c>
      <c r="AP123" s="18">
        <f t="shared" si="312"/>
        <v>7736</v>
      </c>
      <c r="AQ123" s="18"/>
      <c r="AR123" s="18">
        <f t="shared" si="312"/>
        <v>0</v>
      </c>
      <c r="AS123" s="18">
        <f t="shared" si="312"/>
        <v>435016</v>
      </c>
      <c r="AT123" s="18">
        <f t="shared" si="312"/>
        <v>104250</v>
      </c>
      <c r="AU123" s="18"/>
      <c r="AV123" s="18"/>
      <c r="AW123" s="18">
        <f t="shared" si="312"/>
        <v>0</v>
      </c>
      <c r="AX123" s="18">
        <f t="shared" si="312"/>
        <v>0</v>
      </c>
      <c r="AY123" s="18">
        <f t="shared" si="312"/>
        <v>0</v>
      </c>
      <c r="AZ123" s="18"/>
      <c r="BA123" s="18">
        <f t="shared" si="312"/>
        <v>1142402</v>
      </c>
      <c r="BB123" s="18">
        <f t="shared" si="312"/>
        <v>15076504</v>
      </c>
      <c r="BC123" s="18">
        <f t="shared" si="312"/>
        <v>0</v>
      </c>
      <c r="BD123" s="18">
        <f t="shared" si="312"/>
        <v>0</v>
      </c>
      <c r="BE123" s="18">
        <f t="shared" si="312"/>
        <v>0</v>
      </c>
      <c r="BF123" s="18">
        <f t="shared" si="312"/>
        <v>0</v>
      </c>
      <c r="BG123" s="18">
        <f t="shared" si="312"/>
        <v>0</v>
      </c>
      <c r="BH123" s="18">
        <f t="shared" si="312"/>
        <v>0</v>
      </c>
      <c r="BI123" s="18">
        <f t="shared" si="312"/>
        <v>0</v>
      </c>
      <c r="BJ123" s="18">
        <f t="shared" si="312"/>
        <v>0</v>
      </c>
      <c r="BK123" s="18">
        <f t="shared" ref="BK123" si="314">SUM(BK124:BK126)</f>
        <v>0</v>
      </c>
      <c r="BL123" s="18">
        <f t="shared" si="312"/>
        <v>0</v>
      </c>
      <c r="BM123" s="18">
        <f t="shared" si="312"/>
        <v>0</v>
      </c>
      <c r="BN123" s="18">
        <f t="shared" ref="BN123" si="315">SUM(BN124:BN126)</f>
        <v>0</v>
      </c>
      <c r="BO123" s="18">
        <f t="shared" si="312"/>
        <v>15076504</v>
      </c>
      <c r="BP123" s="18">
        <f t="shared" si="312"/>
        <v>0</v>
      </c>
      <c r="BQ123" s="18">
        <f t="shared" si="312"/>
        <v>0</v>
      </c>
      <c r="BR123" s="18">
        <f t="shared" si="312"/>
        <v>5709264</v>
      </c>
      <c r="BS123" s="18">
        <f t="shared" si="312"/>
        <v>0</v>
      </c>
      <c r="BT123" s="18">
        <f t="shared" si="312"/>
        <v>0</v>
      </c>
      <c r="BU123" s="18">
        <f t="shared" si="312"/>
        <v>0</v>
      </c>
      <c r="BV123" s="18">
        <f t="shared" ref="BV123:DA123" si="316">SUM(BV124:BV126)</f>
        <v>0</v>
      </c>
      <c r="BW123" s="18">
        <f t="shared" si="316"/>
        <v>0</v>
      </c>
      <c r="BX123" s="18">
        <f t="shared" si="316"/>
        <v>0</v>
      </c>
      <c r="BY123" s="18">
        <f t="shared" si="316"/>
        <v>9058696</v>
      </c>
      <c r="BZ123" s="18">
        <f t="shared" si="316"/>
        <v>308544</v>
      </c>
      <c r="CA123" s="18">
        <f t="shared" si="316"/>
        <v>3148335</v>
      </c>
      <c r="CB123" s="18">
        <f t="shared" si="316"/>
        <v>3148335</v>
      </c>
      <c r="CC123" s="18">
        <f t="shared" si="316"/>
        <v>2358283</v>
      </c>
      <c r="CD123" s="18">
        <f t="shared" si="316"/>
        <v>0</v>
      </c>
      <c r="CE123" s="18">
        <f t="shared" si="316"/>
        <v>2358283</v>
      </c>
      <c r="CF123" s="18">
        <f t="shared" si="316"/>
        <v>0</v>
      </c>
      <c r="CG123" s="18">
        <f t="shared" si="316"/>
        <v>0</v>
      </c>
      <c r="CH123" s="18">
        <f t="shared" ref="CH123:CI123" si="317">SUM(CH124:CH126)</f>
        <v>0</v>
      </c>
      <c r="CI123" s="18">
        <f t="shared" si="317"/>
        <v>0</v>
      </c>
      <c r="CJ123" s="18">
        <f t="shared" si="316"/>
        <v>0</v>
      </c>
      <c r="CK123" s="18">
        <f t="shared" ref="CK123" si="318">SUM(CK124:CK126)</f>
        <v>0</v>
      </c>
      <c r="CL123" s="18">
        <f t="shared" si="316"/>
        <v>790052</v>
      </c>
      <c r="CM123" s="18">
        <f t="shared" si="316"/>
        <v>0</v>
      </c>
      <c r="CN123" s="18">
        <f t="shared" ref="CN123" si="319">SUM(CN124:CN126)</f>
        <v>790052</v>
      </c>
      <c r="CO123" s="18">
        <f t="shared" si="316"/>
        <v>0</v>
      </c>
      <c r="CP123" s="18"/>
      <c r="CQ123" s="18"/>
      <c r="CR123" s="18"/>
      <c r="CS123" s="18"/>
      <c r="CT123" s="18">
        <f t="shared" si="316"/>
        <v>0</v>
      </c>
      <c r="CU123" s="18"/>
      <c r="CV123" s="18"/>
      <c r="CW123" s="18"/>
      <c r="CX123" s="18">
        <f t="shared" si="316"/>
        <v>0</v>
      </c>
      <c r="CY123" s="18">
        <f t="shared" si="316"/>
        <v>0</v>
      </c>
      <c r="CZ123" s="18">
        <f t="shared" si="316"/>
        <v>0</v>
      </c>
      <c r="DA123" s="46">
        <f t="shared" si="316"/>
        <v>0</v>
      </c>
      <c r="DB123" s="85"/>
    </row>
    <row r="124" spans="1:106" ht="31.5" x14ac:dyDescent="0.25">
      <c r="A124" s="72" t="s">
        <v>1</v>
      </c>
      <c r="B124" s="21" t="s">
        <v>84</v>
      </c>
      <c r="C124" s="22" t="s">
        <v>222</v>
      </c>
      <c r="D124" s="18">
        <f>SUM(E124+CA124+CX124)</f>
        <v>18842340</v>
      </c>
      <c r="E124" s="19">
        <f>SUM(F124+BB124)</f>
        <v>18640987</v>
      </c>
      <c r="F124" s="19">
        <f t="shared" ref="F124:F126" si="320">SUM(G124+H124+I124+P124+S124+T124+U124+AE124)</f>
        <v>15706380</v>
      </c>
      <c r="G124" s="23">
        <f>9608642+2201980</f>
        <v>11810622</v>
      </c>
      <c r="H124" s="23">
        <f>2337817+535750</f>
        <v>2873567</v>
      </c>
      <c r="I124" s="19">
        <f t="shared" si="120"/>
        <v>596620</v>
      </c>
      <c r="J124" s="23">
        <v>0</v>
      </c>
      <c r="K124" s="23">
        <v>0</v>
      </c>
      <c r="L124" s="23">
        <v>507368</v>
      </c>
      <c r="M124" s="23">
        <v>0</v>
      </c>
      <c r="N124" s="23">
        <v>45163</v>
      </c>
      <c r="O124" s="23">
        <v>44089</v>
      </c>
      <c r="P124" s="19">
        <f t="shared" si="121"/>
        <v>0</v>
      </c>
      <c r="Q124" s="23">
        <v>0</v>
      </c>
      <c r="R124" s="23">
        <v>0</v>
      </c>
      <c r="S124" s="23">
        <v>0</v>
      </c>
      <c r="T124" s="23">
        <v>48319</v>
      </c>
      <c r="U124" s="19">
        <f t="shared" ref="U124:U126" si="321">SUM(V124:AC124)</f>
        <v>343266</v>
      </c>
      <c r="V124" s="23">
        <v>13748</v>
      </c>
      <c r="W124" s="23">
        <v>233669</v>
      </c>
      <c r="X124" s="23">
        <v>58742</v>
      </c>
      <c r="Y124" s="23">
        <v>37107</v>
      </c>
      <c r="Z124" s="23">
        <v>0</v>
      </c>
      <c r="AA124" s="23">
        <v>0</v>
      </c>
      <c r="AB124" s="23">
        <v>0</v>
      </c>
      <c r="AC124" s="23">
        <v>0</v>
      </c>
      <c r="AD124" s="19">
        <v>0</v>
      </c>
      <c r="AE124" s="19">
        <f>SUM(AF124:BA124)</f>
        <v>33986</v>
      </c>
      <c r="AF124" s="19">
        <v>0</v>
      </c>
      <c r="AG124" s="19">
        <v>0</v>
      </c>
      <c r="AH124" s="23">
        <v>5924</v>
      </c>
      <c r="AI124" s="23">
        <v>17595</v>
      </c>
      <c r="AJ124" s="23">
        <v>0</v>
      </c>
      <c r="AK124" s="23">
        <v>781</v>
      </c>
      <c r="AL124" s="23">
        <v>0</v>
      </c>
      <c r="AM124" s="23">
        <v>1434</v>
      </c>
      <c r="AN124" s="23">
        <v>5724</v>
      </c>
      <c r="AO124" s="23">
        <v>0</v>
      </c>
      <c r="AP124" s="23">
        <v>0</v>
      </c>
      <c r="AQ124" s="23"/>
      <c r="AR124" s="23">
        <v>0</v>
      </c>
      <c r="AS124" s="23">
        <v>0</v>
      </c>
      <c r="AT124" s="23">
        <v>0</v>
      </c>
      <c r="AU124" s="23">
        <v>0</v>
      </c>
      <c r="AV124" s="23">
        <v>0</v>
      </c>
      <c r="AW124" s="23">
        <v>0</v>
      </c>
      <c r="AX124" s="23">
        <v>0</v>
      </c>
      <c r="AY124" s="23">
        <v>0</v>
      </c>
      <c r="AZ124" s="23">
        <v>0</v>
      </c>
      <c r="BA124" s="23">
        <v>2528</v>
      </c>
      <c r="BB124" s="19">
        <f>SUM(BC124+BG124+BJ124+BL124+BO124)</f>
        <v>2934607</v>
      </c>
      <c r="BC124" s="19">
        <f>SUM(BD124:BF124)</f>
        <v>0</v>
      </c>
      <c r="BD124" s="19">
        <v>0</v>
      </c>
      <c r="BE124" s="19">
        <v>0</v>
      </c>
      <c r="BF124" s="19">
        <v>0</v>
      </c>
      <c r="BG124" s="19">
        <f>SUM(BI124:BI124)</f>
        <v>0</v>
      </c>
      <c r="BH124" s="19">
        <v>0</v>
      </c>
      <c r="BI124" s="19">
        <v>0</v>
      </c>
      <c r="BJ124" s="19">
        <v>0</v>
      </c>
      <c r="BK124" s="19">
        <v>0</v>
      </c>
      <c r="BL124" s="19">
        <f t="shared" si="122"/>
        <v>0</v>
      </c>
      <c r="BM124" s="19">
        <v>0</v>
      </c>
      <c r="BN124" s="19">
        <v>0</v>
      </c>
      <c r="BO124" s="19">
        <f>SUM(BP124:BZ124)</f>
        <v>2934607</v>
      </c>
      <c r="BP124" s="19">
        <v>0</v>
      </c>
      <c r="BQ124" s="19">
        <v>0</v>
      </c>
      <c r="BR124" s="23">
        <v>1146888</v>
      </c>
      <c r="BS124" s="19">
        <v>0</v>
      </c>
      <c r="BT124" s="19">
        <v>0</v>
      </c>
      <c r="BU124" s="19">
        <v>0</v>
      </c>
      <c r="BV124" s="19">
        <v>0</v>
      </c>
      <c r="BW124" s="19">
        <v>0</v>
      </c>
      <c r="BX124" s="19">
        <v>0</v>
      </c>
      <c r="BY124" s="23">
        <v>1633519</v>
      </c>
      <c r="BZ124" s="23">
        <v>154200</v>
      </c>
      <c r="CA124" s="19">
        <f>SUM(CB124+CT124)</f>
        <v>201353</v>
      </c>
      <c r="CB124" s="19">
        <f>SUM(CC124+CF124+CL124)</f>
        <v>201353</v>
      </c>
      <c r="CC124" s="19">
        <f t="shared" si="123"/>
        <v>50000</v>
      </c>
      <c r="CD124" s="19">
        <v>0</v>
      </c>
      <c r="CE124" s="23">
        <v>50000</v>
      </c>
      <c r="CF124" s="19">
        <f t="shared" ref="CF124:CF126" si="322">SUM(CG124:CK124)</f>
        <v>0</v>
      </c>
      <c r="CG124" s="19">
        <v>0</v>
      </c>
      <c r="CH124" s="19">
        <v>0</v>
      </c>
      <c r="CI124" s="19">
        <v>0</v>
      </c>
      <c r="CJ124" s="19">
        <v>0</v>
      </c>
      <c r="CK124" s="19">
        <v>0</v>
      </c>
      <c r="CL124" s="19">
        <f>SUM(CM124:CQ124)</f>
        <v>151353</v>
      </c>
      <c r="CM124" s="23">
        <v>0</v>
      </c>
      <c r="CN124" s="23">
        <v>151353</v>
      </c>
      <c r="CO124" s="19">
        <v>0</v>
      </c>
      <c r="CP124" s="19"/>
      <c r="CQ124" s="19"/>
      <c r="CR124" s="19"/>
      <c r="CS124" s="19"/>
      <c r="CT124" s="19">
        <v>0</v>
      </c>
      <c r="CU124" s="19"/>
      <c r="CV124" s="19"/>
      <c r="CW124" s="19"/>
      <c r="CX124" s="19">
        <f t="shared" si="124"/>
        <v>0</v>
      </c>
      <c r="CY124" s="19">
        <f t="shared" si="125"/>
        <v>0</v>
      </c>
      <c r="CZ124" s="19">
        <v>0</v>
      </c>
      <c r="DA124" s="20">
        <v>0</v>
      </c>
    </row>
    <row r="125" spans="1:106" s="87" customFormat="1" ht="15.75" x14ac:dyDescent="0.25">
      <c r="A125" s="75" t="s">
        <v>1</v>
      </c>
      <c r="B125" s="60" t="s">
        <v>86</v>
      </c>
      <c r="C125" s="61" t="s">
        <v>223</v>
      </c>
      <c r="D125" s="62">
        <f>SUM(E125+CA125+CX125)</f>
        <v>107714473</v>
      </c>
      <c r="E125" s="63">
        <f>SUM(F125+BB125)</f>
        <v>106071839</v>
      </c>
      <c r="F125" s="63">
        <f t="shared" si="320"/>
        <v>94049676</v>
      </c>
      <c r="G125" s="64">
        <f>56673951+12987780-2000000</f>
        <v>67661731</v>
      </c>
      <c r="H125" s="64">
        <f>13317870+3052012-90000</f>
        <v>16279882</v>
      </c>
      <c r="I125" s="63">
        <f t="shared" si="120"/>
        <v>3803697</v>
      </c>
      <c r="J125" s="64">
        <f>52256-3748</f>
        <v>48508</v>
      </c>
      <c r="K125" s="64">
        <f>180600-17967</f>
        <v>162633</v>
      </c>
      <c r="L125" s="64">
        <f>2465186-307614</f>
        <v>2157572</v>
      </c>
      <c r="M125" s="64">
        <v>0</v>
      </c>
      <c r="N125" s="64">
        <f>988547-55754</f>
        <v>932793</v>
      </c>
      <c r="O125" s="64">
        <v>502191</v>
      </c>
      <c r="P125" s="63">
        <f t="shared" si="121"/>
        <v>750</v>
      </c>
      <c r="Q125" s="64">
        <v>750</v>
      </c>
      <c r="R125" s="64">
        <v>0</v>
      </c>
      <c r="S125" s="64">
        <v>0</v>
      </c>
      <c r="T125" s="64">
        <v>195833</v>
      </c>
      <c r="U125" s="63">
        <f t="shared" si="321"/>
        <v>4385894</v>
      </c>
      <c r="V125" s="64">
        <v>157012</v>
      </c>
      <c r="W125" s="64">
        <f>2574287+13237+714650</f>
        <v>3302174</v>
      </c>
      <c r="X125" s="64">
        <f>514057+69434</f>
        <v>583491</v>
      </c>
      <c r="Y125" s="64">
        <f>255093+24739</f>
        <v>279832</v>
      </c>
      <c r="Z125" s="64">
        <v>63239</v>
      </c>
      <c r="AA125" s="64">
        <v>0</v>
      </c>
      <c r="AB125" s="64">
        <v>0</v>
      </c>
      <c r="AC125" s="64">
        <v>146</v>
      </c>
      <c r="AD125" s="63">
        <v>0</v>
      </c>
      <c r="AE125" s="63">
        <f>SUM(AF125:BA125)</f>
        <v>1721889</v>
      </c>
      <c r="AF125" s="63">
        <v>0</v>
      </c>
      <c r="AG125" s="63">
        <v>0</v>
      </c>
      <c r="AH125" s="64">
        <v>1980</v>
      </c>
      <c r="AI125" s="64">
        <v>390782</v>
      </c>
      <c r="AJ125" s="64">
        <f>285374-11526</f>
        <v>273848</v>
      </c>
      <c r="AK125" s="64">
        <f>463736-8077</f>
        <v>455659</v>
      </c>
      <c r="AL125" s="64">
        <v>0</v>
      </c>
      <c r="AM125" s="64">
        <v>4204</v>
      </c>
      <c r="AN125" s="64">
        <v>18455</v>
      </c>
      <c r="AO125" s="64">
        <v>0</v>
      </c>
      <c r="AP125" s="64">
        <v>7736</v>
      </c>
      <c r="AQ125" s="64"/>
      <c r="AR125" s="64">
        <v>0</v>
      </c>
      <c r="AS125" s="64">
        <v>427560</v>
      </c>
      <c r="AT125" s="64">
        <v>39000</v>
      </c>
      <c r="AU125" s="64">
        <v>0</v>
      </c>
      <c r="AV125" s="64">
        <v>0</v>
      </c>
      <c r="AW125" s="64">
        <v>0</v>
      </c>
      <c r="AX125" s="64">
        <v>0</v>
      </c>
      <c r="AY125" s="64">
        <v>0</v>
      </c>
      <c r="AZ125" s="64">
        <v>0</v>
      </c>
      <c r="BA125" s="64">
        <v>102665</v>
      </c>
      <c r="BB125" s="63">
        <f>SUM(BC125+BG125+BJ125+BL125+BO125)</f>
        <v>12022163</v>
      </c>
      <c r="BC125" s="63">
        <f>SUM(BD125:BF125)</f>
        <v>0</v>
      </c>
      <c r="BD125" s="63">
        <v>0</v>
      </c>
      <c r="BE125" s="63">
        <v>0</v>
      </c>
      <c r="BF125" s="63">
        <v>0</v>
      </c>
      <c r="BG125" s="63">
        <f>SUM(BI125:BI125)</f>
        <v>0</v>
      </c>
      <c r="BH125" s="63">
        <v>0</v>
      </c>
      <c r="BI125" s="63">
        <v>0</v>
      </c>
      <c r="BJ125" s="63">
        <v>0</v>
      </c>
      <c r="BK125" s="63">
        <v>0</v>
      </c>
      <c r="BL125" s="63">
        <f t="shared" si="122"/>
        <v>0</v>
      </c>
      <c r="BM125" s="63">
        <v>0</v>
      </c>
      <c r="BN125" s="63">
        <v>0</v>
      </c>
      <c r="BO125" s="63">
        <f>SUM(BP125:BZ125)</f>
        <v>12022163</v>
      </c>
      <c r="BP125" s="63">
        <v>0</v>
      </c>
      <c r="BQ125" s="63">
        <v>0</v>
      </c>
      <c r="BR125" s="64">
        <f>6379651-1899450</f>
        <v>4480201</v>
      </c>
      <c r="BS125" s="63">
        <v>0</v>
      </c>
      <c r="BT125" s="63">
        <v>0</v>
      </c>
      <c r="BU125" s="63">
        <v>0</v>
      </c>
      <c r="BV125" s="63">
        <v>0</v>
      </c>
      <c r="BW125" s="63">
        <v>0</v>
      </c>
      <c r="BX125" s="63">
        <v>0</v>
      </c>
      <c r="BY125" s="64">
        <f>8087618-700000</f>
        <v>7387618</v>
      </c>
      <c r="BZ125" s="64">
        <v>154344</v>
      </c>
      <c r="CA125" s="63">
        <f>SUM(CB125+CT125)</f>
        <v>1642634</v>
      </c>
      <c r="CB125" s="63">
        <f>SUM(CC125+CF125+CL125)</f>
        <v>1642634</v>
      </c>
      <c r="CC125" s="63">
        <f t="shared" si="123"/>
        <v>1381996</v>
      </c>
      <c r="CD125" s="63">
        <v>0</v>
      </c>
      <c r="CE125" s="64">
        <v>1381996</v>
      </c>
      <c r="CF125" s="63">
        <f t="shared" si="322"/>
        <v>0</v>
      </c>
      <c r="CG125" s="63">
        <v>0</v>
      </c>
      <c r="CH125" s="63">
        <v>0</v>
      </c>
      <c r="CI125" s="63">
        <v>0</v>
      </c>
      <c r="CJ125" s="63">
        <v>0</v>
      </c>
      <c r="CK125" s="63">
        <v>0</v>
      </c>
      <c r="CL125" s="63">
        <f>SUM(CM125:CQ125)</f>
        <v>260638</v>
      </c>
      <c r="CM125" s="64"/>
      <c r="CN125" s="64">
        <v>260638</v>
      </c>
      <c r="CO125" s="63">
        <v>0</v>
      </c>
      <c r="CP125" s="63"/>
      <c r="CQ125" s="63"/>
      <c r="CR125" s="63"/>
      <c r="CS125" s="63"/>
      <c r="CT125" s="63">
        <v>0</v>
      </c>
      <c r="CU125" s="63"/>
      <c r="CV125" s="63"/>
      <c r="CW125" s="63"/>
      <c r="CX125" s="63">
        <f t="shared" si="124"/>
        <v>0</v>
      </c>
      <c r="CY125" s="63">
        <f t="shared" si="125"/>
        <v>0</v>
      </c>
      <c r="CZ125" s="63">
        <v>0</v>
      </c>
      <c r="DA125" s="66">
        <v>0</v>
      </c>
    </row>
    <row r="126" spans="1:106" ht="15.75" x14ac:dyDescent="0.25">
      <c r="A126" s="72" t="s">
        <v>1</v>
      </c>
      <c r="B126" s="21" t="s">
        <v>94</v>
      </c>
      <c r="C126" s="22" t="s">
        <v>360</v>
      </c>
      <c r="D126" s="18">
        <f>SUM(E126+CA126+CX126)</f>
        <v>17018392</v>
      </c>
      <c r="E126" s="19">
        <f>SUM(F126+BB126)</f>
        <v>15714044</v>
      </c>
      <c r="F126" s="19">
        <f t="shared" si="320"/>
        <v>15594310</v>
      </c>
      <c r="G126" s="23">
        <f>5697780+1305741</f>
        <v>7003521</v>
      </c>
      <c r="H126" s="23">
        <f>1346615+308600</f>
        <v>1655215</v>
      </c>
      <c r="I126" s="19">
        <f t="shared" si="120"/>
        <v>4935922</v>
      </c>
      <c r="J126" s="23">
        <f>79999-16224</f>
        <v>63775</v>
      </c>
      <c r="K126" s="23">
        <v>917706</v>
      </c>
      <c r="L126" s="23">
        <v>3662038</v>
      </c>
      <c r="M126" s="23">
        <v>0</v>
      </c>
      <c r="N126" s="23">
        <v>196261</v>
      </c>
      <c r="O126" s="23">
        <v>96142</v>
      </c>
      <c r="P126" s="19">
        <f t="shared" si="121"/>
        <v>0</v>
      </c>
      <c r="Q126" s="23">
        <v>0</v>
      </c>
      <c r="R126" s="23">
        <v>0</v>
      </c>
      <c r="S126" s="23">
        <v>0</v>
      </c>
      <c r="T126" s="23">
        <v>16171</v>
      </c>
      <c r="U126" s="19">
        <f t="shared" si="321"/>
        <v>383034</v>
      </c>
      <c r="V126" s="23">
        <v>13957</v>
      </c>
      <c r="W126" s="23">
        <f>164344+17324</f>
        <v>181668</v>
      </c>
      <c r="X126" s="23">
        <f>72004+40682-532</f>
        <v>112154</v>
      </c>
      <c r="Y126" s="23">
        <f>41485+16224</f>
        <v>57709</v>
      </c>
      <c r="Z126" s="23">
        <v>17546</v>
      </c>
      <c r="AA126" s="23">
        <v>0</v>
      </c>
      <c r="AB126" s="23">
        <v>0</v>
      </c>
      <c r="AC126" s="23">
        <v>0</v>
      </c>
      <c r="AD126" s="19">
        <v>0</v>
      </c>
      <c r="AE126" s="19">
        <f>SUM(AF126:BA126)</f>
        <v>1600447</v>
      </c>
      <c r="AF126" s="19">
        <v>0</v>
      </c>
      <c r="AG126" s="19">
        <v>0</v>
      </c>
      <c r="AH126" s="23">
        <v>18533</v>
      </c>
      <c r="AI126" s="23">
        <v>461705</v>
      </c>
      <c r="AJ126" s="23">
        <v>0</v>
      </c>
      <c r="AK126" s="23">
        <v>6483</v>
      </c>
      <c r="AL126" s="23">
        <v>0</v>
      </c>
      <c r="AM126" s="23">
        <v>71</v>
      </c>
      <c r="AN126" s="23">
        <v>3740</v>
      </c>
      <c r="AO126" s="23">
        <v>0</v>
      </c>
      <c r="AP126" s="23">
        <v>0</v>
      </c>
      <c r="AQ126" s="23"/>
      <c r="AR126" s="23">
        <v>0</v>
      </c>
      <c r="AS126" s="23">
        <f>14708-7252</f>
        <v>7456</v>
      </c>
      <c r="AT126" s="23">
        <v>65250</v>
      </c>
      <c r="AU126" s="23">
        <v>0</v>
      </c>
      <c r="AV126" s="23">
        <v>0</v>
      </c>
      <c r="AW126" s="23">
        <v>0</v>
      </c>
      <c r="AX126" s="23">
        <v>0</v>
      </c>
      <c r="AY126" s="23">
        <v>0</v>
      </c>
      <c r="AZ126" s="23">
        <v>0</v>
      </c>
      <c r="BA126" s="23">
        <v>1037209</v>
      </c>
      <c r="BB126" s="19">
        <f>SUM(BC126+BG126+BJ126+BL126+BO126)</f>
        <v>119734</v>
      </c>
      <c r="BC126" s="19">
        <f>SUM(BD126:BF126)</f>
        <v>0</v>
      </c>
      <c r="BD126" s="19">
        <v>0</v>
      </c>
      <c r="BE126" s="19">
        <v>0</v>
      </c>
      <c r="BF126" s="19">
        <v>0</v>
      </c>
      <c r="BG126" s="19">
        <f>SUM(BI126:BI126)</f>
        <v>0</v>
      </c>
      <c r="BH126" s="19">
        <v>0</v>
      </c>
      <c r="BI126" s="19">
        <v>0</v>
      </c>
      <c r="BJ126" s="19">
        <v>0</v>
      </c>
      <c r="BK126" s="19">
        <v>0</v>
      </c>
      <c r="BL126" s="19">
        <f t="shared" si="122"/>
        <v>0</v>
      </c>
      <c r="BM126" s="19">
        <v>0</v>
      </c>
      <c r="BN126" s="19">
        <v>0</v>
      </c>
      <c r="BO126" s="19">
        <f>SUM(BP126:BZ126)</f>
        <v>119734</v>
      </c>
      <c r="BP126" s="19">
        <v>0</v>
      </c>
      <c r="BQ126" s="19">
        <v>0</v>
      </c>
      <c r="BR126" s="23">
        <f>132929-50754</f>
        <v>82175</v>
      </c>
      <c r="BS126" s="19">
        <v>0</v>
      </c>
      <c r="BT126" s="19">
        <v>0</v>
      </c>
      <c r="BU126" s="19">
        <v>0</v>
      </c>
      <c r="BV126" s="19">
        <v>0</v>
      </c>
      <c r="BW126" s="19">
        <v>0</v>
      </c>
      <c r="BX126" s="19">
        <v>0</v>
      </c>
      <c r="BY126" s="23">
        <v>37559</v>
      </c>
      <c r="BZ126" s="23"/>
      <c r="CA126" s="19">
        <f>SUM(CB126+CT126)</f>
        <v>1304348</v>
      </c>
      <c r="CB126" s="19">
        <f>SUM(CC126+CF126+CL126)</f>
        <v>1304348</v>
      </c>
      <c r="CC126" s="19">
        <f t="shared" si="123"/>
        <v>926287</v>
      </c>
      <c r="CD126" s="19">
        <v>0</v>
      </c>
      <c r="CE126" s="23">
        <v>926287</v>
      </c>
      <c r="CF126" s="19">
        <f t="shared" si="322"/>
        <v>0</v>
      </c>
      <c r="CG126" s="19">
        <v>0</v>
      </c>
      <c r="CH126" s="19">
        <v>0</v>
      </c>
      <c r="CI126" s="19">
        <v>0</v>
      </c>
      <c r="CJ126" s="19">
        <v>0</v>
      </c>
      <c r="CK126" s="19">
        <v>0</v>
      </c>
      <c r="CL126" s="19">
        <f>SUM(CM126:CQ126)</f>
        <v>378061</v>
      </c>
      <c r="CM126" s="23"/>
      <c r="CN126" s="23">
        <v>378061</v>
      </c>
      <c r="CO126" s="19">
        <v>0</v>
      </c>
      <c r="CP126" s="19"/>
      <c r="CQ126" s="19"/>
      <c r="CR126" s="19"/>
      <c r="CS126" s="19"/>
      <c r="CT126" s="19">
        <v>0</v>
      </c>
      <c r="CU126" s="19"/>
      <c r="CV126" s="19"/>
      <c r="CW126" s="19"/>
      <c r="CX126" s="19">
        <f t="shared" si="124"/>
        <v>0</v>
      </c>
      <c r="CY126" s="19">
        <f t="shared" si="125"/>
        <v>0</v>
      </c>
      <c r="CZ126" s="19">
        <v>0</v>
      </c>
      <c r="DA126" s="20">
        <v>0</v>
      </c>
    </row>
    <row r="127" spans="1:106" s="86" customFormat="1" ht="15.75" x14ac:dyDescent="0.25">
      <c r="A127" s="71" t="s">
        <v>224</v>
      </c>
      <c r="B127" s="16" t="s">
        <v>1</v>
      </c>
      <c r="C127" s="17" t="s">
        <v>225</v>
      </c>
      <c r="D127" s="18">
        <f t="shared" ref="D127:BR127" si="323">SUM(D128:D130)</f>
        <v>172537400</v>
      </c>
      <c r="E127" s="18">
        <f t="shared" si="323"/>
        <v>172267123</v>
      </c>
      <c r="F127" s="18">
        <f t="shared" si="323"/>
        <v>159859240</v>
      </c>
      <c r="G127" s="18">
        <f t="shared" si="323"/>
        <v>124229797</v>
      </c>
      <c r="H127" s="18">
        <f t="shared" si="323"/>
        <v>29333611</v>
      </c>
      <c r="I127" s="18">
        <f t="shared" si="323"/>
        <v>2480516</v>
      </c>
      <c r="J127" s="18">
        <f t="shared" si="323"/>
        <v>9105</v>
      </c>
      <c r="K127" s="18">
        <f t="shared" si="323"/>
        <v>27819</v>
      </c>
      <c r="L127" s="18">
        <f t="shared" si="323"/>
        <v>2103277</v>
      </c>
      <c r="M127" s="18">
        <f t="shared" si="323"/>
        <v>0</v>
      </c>
      <c r="N127" s="18">
        <f t="shared" si="323"/>
        <v>198351</v>
      </c>
      <c r="O127" s="18">
        <f t="shared" si="323"/>
        <v>141964</v>
      </c>
      <c r="P127" s="18">
        <f t="shared" si="323"/>
        <v>0</v>
      </c>
      <c r="Q127" s="18">
        <f t="shared" si="323"/>
        <v>0</v>
      </c>
      <c r="R127" s="18">
        <f t="shared" si="323"/>
        <v>0</v>
      </c>
      <c r="S127" s="18">
        <f t="shared" si="323"/>
        <v>0</v>
      </c>
      <c r="T127" s="18">
        <f t="shared" si="323"/>
        <v>387179</v>
      </c>
      <c r="U127" s="18">
        <f t="shared" si="323"/>
        <v>2788784</v>
      </c>
      <c r="V127" s="18">
        <f t="shared" si="323"/>
        <v>1215</v>
      </c>
      <c r="W127" s="18">
        <f t="shared" si="323"/>
        <v>1922577</v>
      </c>
      <c r="X127" s="18">
        <f t="shared" si="323"/>
        <v>480650</v>
      </c>
      <c r="Y127" s="18">
        <f t="shared" si="323"/>
        <v>189540</v>
      </c>
      <c r="Z127" s="18">
        <f t="shared" si="323"/>
        <v>194639</v>
      </c>
      <c r="AA127" s="18">
        <f t="shared" si="323"/>
        <v>0</v>
      </c>
      <c r="AB127" s="18">
        <f t="shared" si="323"/>
        <v>0</v>
      </c>
      <c r="AC127" s="18">
        <f t="shared" si="323"/>
        <v>163</v>
      </c>
      <c r="AD127" s="18">
        <f t="shared" ref="AD127" si="324">SUM(AD128:AD130)</f>
        <v>0</v>
      </c>
      <c r="AE127" s="18">
        <f t="shared" si="323"/>
        <v>639353</v>
      </c>
      <c r="AF127" s="18">
        <f t="shared" si="323"/>
        <v>0</v>
      </c>
      <c r="AG127" s="18">
        <f t="shared" si="323"/>
        <v>0</v>
      </c>
      <c r="AH127" s="18">
        <f t="shared" si="323"/>
        <v>0</v>
      </c>
      <c r="AI127" s="18">
        <f t="shared" si="323"/>
        <v>44226</v>
      </c>
      <c r="AJ127" s="18">
        <f t="shared" si="323"/>
        <v>213084</v>
      </c>
      <c r="AK127" s="18">
        <f t="shared" si="323"/>
        <v>19786</v>
      </c>
      <c r="AL127" s="18">
        <f t="shared" si="323"/>
        <v>0</v>
      </c>
      <c r="AM127" s="18">
        <f t="shared" si="323"/>
        <v>786</v>
      </c>
      <c r="AN127" s="18">
        <f t="shared" si="323"/>
        <v>193936</v>
      </c>
      <c r="AO127" s="18">
        <f t="shared" si="323"/>
        <v>0</v>
      </c>
      <c r="AP127" s="18">
        <f t="shared" si="323"/>
        <v>0</v>
      </c>
      <c r="AQ127" s="18"/>
      <c r="AR127" s="18">
        <f t="shared" si="323"/>
        <v>0</v>
      </c>
      <c r="AS127" s="18">
        <f t="shared" si="323"/>
        <v>0</v>
      </c>
      <c r="AT127" s="18">
        <f t="shared" si="323"/>
        <v>45837</v>
      </c>
      <c r="AU127" s="18"/>
      <c r="AV127" s="18"/>
      <c r="AW127" s="18">
        <f t="shared" si="323"/>
        <v>0</v>
      </c>
      <c r="AX127" s="18">
        <f t="shared" si="323"/>
        <v>0</v>
      </c>
      <c r="AY127" s="18">
        <f t="shared" si="323"/>
        <v>11720</v>
      </c>
      <c r="AZ127" s="18"/>
      <c r="BA127" s="18">
        <f t="shared" si="323"/>
        <v>109978</v>
      </c>
      <c r="BB127" s="18">
        <f t="shared" si="323"/>
        <v>12407883</v>
      </c>
      <c r="BC127" s="18">
        <f t="shared" si="323"/>
        <v>0</v>
      </c>
      <c r="BD127" s="18">
        <f t="shared" si="323"/>
        <v>0</v>
      </c>
      <c r="BE127" s="18">
        <f t="shared" si="323"/>
        <v>0</v>
      </c>
      <c r="BF127" s="18">
        <f t="shared" si="323"/>
        <v>0</v>
      </c>
      <c r="BG127" s="18">
        <f t="shared" si="323"/>
        <v>0</v>
      </c>
      <c r="BH127" s="18">
        <f t="shared" si="323"/>
        <v>0</v>
      </c>
      <c r="BI127" s="18">
        <f t="shared" si="323"/>
        <v>0</v>
      </c>
      <c r="BJ127" s="18">
        <f t="shared" si="323"/>
        <v>0</v>
      </c>
      <c r="BK127" s="18">
        <f t="shared" ref="BK127" si="325">SUM(BK128:BK130)</f>
        <v>0</v>
      </c>
      <c r="BL127" s="18">
        <f t="shared" si="323"/>
        <v>0</v>
      </c>
      <c r="BM127" s="18">
        <f t="shared" si="323"/>
        <v>0</v>
      </c>
      <c r="BN127" s="18">
        <f t="shared" ref="BN127" si="326">SUM(BN128:BN130)</f>
        <v>0</v>
      </c>
      <c r="BO127" s="18">
        <f t="shared" si="323"/>
        <v>12407883</v>
      </c>
      <c r="BP127" s="18">
        <f t="shared" si="323"/>
        <v>0</v>
      </c>
      <c r="BQ127" s="18">
        <f t="shared" si="323"/>
        <v>0</v>
      </c>
      <c r="BR127" s="18">
        <f t="shared" si="323"/>
        <v>7521113</v>
      </c>
      <c r="BS127" s="18">
        <f t="shared" ref="BS127:DA127" si="327">SUM(BS128:BS130)</f>
        <v>0</v>
      </c>
      <c r="BT127" s="18">
        <f t="shared" si="327"/>
        <v>0</v>
      </c>
      <c r="BU127" s="18">
        <f t="shared" si="327"/>
        <v>0</v>
      </c>
      <c r="BV127" s="18">
        <f t="shared" si="327"/>
        <v>0</v>
      </c>
      <c r="BW127" s="18">
        <f t="shared" si="327"/>
        <v>0</v>
      </c>
      <c r="BX127" s="18">
        <f t="shared" si="327"/>
        <v>0</v>
      </c>
      <c r="BY127" s="18">
        <f t="shared" si="327"/>
        <v>3760722</v>
      </c>
      <c r="BZ127" s="18">
        <f t="shared" si="327"/>
        <v>1126048</v>
      </c>
      <c r="CA127" s="18">
        <f t="shared" si="327"/>
        <v>270277</v>
      </c>
      <c r="CB127" s="18">
        <f t="shared" si="327"/>
        <v>270277</v>
      </c>
      <c r="CC127" s="18">
        <f t="shared" si="327"/>
        <v>255462</v>
      </c>
      <c r="CD127" s="18">
        <f t="shared" si="327"/>
        <v>0</v>
      </c>
      <c r="CE127" s="18">
        <f t="shared" si="327"/>
        <v>255462</v>
      </c>
      <c r="CF127" s="18">
        <f t="shared" si="327"/>
        <v>0</v>
      </c>
      <c r="CG127" s="18">
        <f t="shared" si="327"/>
        <v>0</v>
      </c>
      <c r="CH127" s="18">
        <f t="shared" ref="CH127:CI127" si="328">SUM(CH128:CH130)</f>
        <v>0</v>
      </c>
      <c r="CI127" s="18">
        <f t="shared" si="328"/>
        <v>0</v>
      </c>
      <c r="CJ127" s="18">
        <f t="shared" si="327"/>
        <v>0</v>
      </c>
      <c r="CK127" s="18">
        <f t="shared" ref="CK127" si="329">SUM(CK128:CK130)</f>
        <v>0</v>
      </c>
      <c r="CL127" s="18">
        <f t="shared" si="327"/>
        <v>14815</v>
      </c>
      <c r="CM127" s="18">
        <f t="shared" si="327"/>
        <v>0</v>
      </c>
      <c r="CN127" s="18">
        <f t="shared" ref="CN127" si="330">SUM(CN128:CN130)</f>
        <v>14815</v>
      </c>
      <c r="CO127" s="18">
        <f t="shared" si="327"/>
        <v>0</v>
      </c>
      <c r="CP127" s="18"/>
      <c r="CQ127" s="18"/>
      <c r="CR127" s="18"/>
      <c r="CS127" s="18"/>
      <c r="CT127" s="18">
        <f t="shared" si="327"/>
        <v>0</v>
      </c>
      <c r="CU127" s="18"/>
      <c r="CV127" s="18"/>
      <c r="CW127" s="18"/>
      <c r="CX127" s="18">
        <f t="shared" si="327"/>
        <v>0</v>
      </c>
      <c r="CY127" s="18">
        <f t="shared" si="327"/>
        <v>0</v>
      </c>
      <c r="CZ127" s="18">
        <f t="shared" si="327"/>
        <v>0</v>
      </c>
      <c r="DA127" s="46">
        <f t="shared" si="327"/>
        <v>0</v>
      </c>
      <c r="DB127" s="85"/>
    </row>
    <row r="128" spans="1:106" ht="15.75" x14ac:dyDescent="0.25">
      <c r="A128" s="72" t="s">
        <v>1</v>
      </c>
      <c r="B128" s="21" t="s">
        <v>86</v>
      </c>
      <c r="C128" s="22" t="s">
        <v>226</v>
      </c>
      <c r="D128" s="18">
        <f>SUM(E128+CA128+CX128)</f>
        <v>381210</v>
      </c>
      <c r="E128" s="19">
        <f>SUM(F128+BB128)</f>
        <v>381210</v>
      </c>
      <c r="F128" s="19">
        <f t="shared" ref="F128:F130" si="331">SUM(G128+H128+I128+P128+S128+T128+U128+AE128)</f>
        <v>0</v>
      </c>
      <c r="G128" s="23">
        <v>0</v>
      </c>
      <c r="H128" s="23">
        <v>0</v>
      </c>
      <c r="I128" s="19">
        <f t="shared" si="120"/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19">
        <f t="shared" si="121"/>
        <v>0</v>
      </c>
      <c r="Q128" s="23">
        <v>0</v>
      </c>
      <c r="R128" s="23">
        <v>0</v>
      </c>
      <c r="S128" s="23">
        <v>0</v>
      </c>
      <c r="T128" s="23">
        <v>0</v>
      </c>
      <c r="U128" s="19">
        <f t="shared" ref="U128:U130" si="332">SUM(V128:AC128)</f>
        <v>0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>
        <v>0</v>
      </c>
      <c r="AB128" s="23">
        <v>0</v>
      </c>
      <c r="AC128" s="23">
        <v>0</v>
      </c>
      <c r="AD128" s="24">
        <v>0</v>
      </c>
      <c r="AE128" s="19">
        <f>SUM(AF128:BA128)</f>
        <v>0</v>
      </c>
      <c r="AF128" s="24">
        <v>0</v>
      </c>
      <c r="AG128" s="24">
        <v>0</v>
      </c>
      <c r="AH128" s="23">
        <v>0</v>
      </c>
      <c r="AI128" s="23">
        <v>0</v>
      </c>
      <c r="AJ128" s="23">
        <v>0</v>
      </c>
      <c r="AK128" s="23">
        <v>0</v>
      </c>
      <c r="AL128" s="23">
        <v>0</v>
      </c>
      <c r="AM128" s="23">
        <v>0</v>
      </c>
      <c r="AN128" s="23">
        <v>0</v>
      </c>
      <c r="AO128" s="23">
        <v>0</v>
      </c>
      <c r="AP128" s="23">
        <v>0</v>
      </c>
      <c r="AQ128" s="23"/>
      <c r="AR128" s="23">
        <v>0</v>
      </c>
      <c r="AS128" s="23">
        <v>0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0</v>
      </c>
      <c r="BA128" s="23">
        <v>0</v>
      </c>
      <c r="BB128" s="19">
        <f>SUM(BC128+BG128+BJ128+BL128+BO128)</f>
        <v>381210</v>
      </c>
      <c r="BC128" s="19">
        <f>SUM(BD128:BF128)</f>
        <v>0</v>
      </c>
      <c r="BD128" s="19">
        <v>0</v>
      </c>
      <c r="BE128" s="19">
        <v>0</v>
      </c>
      <c r="BF128" s="19">
        <v>0</v>
      </c>
      <c r="BG128" s="19">
        <f>SUM(BI128:BI128)</f>
        <v>0</v>
      </c>
      <c r="BH128" s="19">
        <v>0</v>
      </c>
      <c r="BI128" s="19">
        <v>0</v>
      </c>
      <c r="BJ128" s="19">
        <v>0</v>
      </c>
      <c r="BK128" s="19">
        <v>0</v>
      </c>
      <c r="BL128" s="19">
        <f t="shared" si="122"/>
        <v>0</v>
      </c>
      <c r="BM128" s="19">
        <v>0</v>
      </c>
      <c r="BN128" s="19">
        <v>0</v>
      </c>
      <c r="BO128" s="19">
        <f>SUM(BP128:BZ128)</f>
        <v>381210</v>
      </c>
      <c r="BP128" s="19">
        <v>0</v>
      </c>
      <c r="BQ128" s="19">
        <v>0</v>
      </c>
      <c r="BR128" s="23">
        <v>381210</v>
      </c>
      <c r="BS128" s="19">
        <v>0</v>
      </c>
      <c r="BT128" s="19">
        <v>0</v>
      </c>
      <c r="BU128" s="19">
        <v>0</v>
      </c>
      <c r="BV128" s="19">
        <v>0</v>
      </c>
      <c r="BW128" s="19">
        <v>0</v>
      </c>
      <c r="BX128" s="19">
        <v>0</v>
      </c>
      <c r="BY128" s="23">
        <v>0</v>
      </c>
      <c r="BZ128" s="23">
        <v>0</v>
      </c>
      <c r="CA128" s="19">
        <f>SUM(CB128+CT128)</f>
        <v>0</v>
      </c>
      <c r="CB128" s="19">
        <f>SUM(CC128+CF128+CL128)</f>
        <v>0</v>
      </c>
      <c r="CC128" s="19">
        <f t="shared" si="123"/>
        <v>0</v>
      </c>
      <c r="CD128" s="19">
        <v>0</v>
      </c>
      <c r="CE128" s="23">
        <v>0</v>
      </c>
      <c r="CF128" s="19">
        <f t="shared" ref="CF128:CF130" si="333">SUM(CG128:CK128)</f>
        <v>0</v>
      </c>
      <c r="CG128" s="19">
        <v>0</v>
      </c>
      <c r="CH128" s="19">
        <v>0</v>
      </c>
      <c r="CI128" s="19">
        <v>0</v>
      </c>
      <c r="CJ128" s="19">
        <v>0</v>
      </c>
      <c r="CK128" s="19">
        <v>0</v>
      </c>
      <c r="CL128" s="19">
        <f>SUM(CM128:CQ128)</f>
        <v>0</v>
      </c>
      <c r="CM128" s="19">
        <v>0</v>
      </c>
      <c r="CN128" s="19">
        <v>0</v>
      </c>
      <c r="CO128" s="19">
        <v>0</v>
      </c>
      <c r="CP128" s="19"/>
      <c r="CQ128" s="19"/>
      <c r="CR128" s="19"/>
      <c r="CS128" s="19"/>
      <c r="CT128" s="19">
        <v>0</v>
      </c>
      <c r="CU128" s="19"/>
      <c r="CV128" s="19"/>
      <c r="CW128" s="19"/>
      <c r="CX128" s="19">
        <f t="shared" si="124"/>
        <v>0</v>
      </c>
      <c r="CY128" s="19">
        <f t="shared" si="125"/>
        <v>0</v>
      </c>
      <c r="CZ128" s="19">
        <v>0</v>
      </c>
      <c r="DA128" s="20">
        <v>0</v>
      </c>
    </row>
    <row r="129" spans="1:106" s="87" customFormat="1" ht="15.75" x14ac:dyDescent="0.25">
      <c r="A129" s="75" t="s">
        <v>1</v>
      </c>
      <c r="B129" s="60" t="s">
        <v>188</v>
      </c>
      <c r="C129" s="61" t="s">
        <v>227</v>
      </c>
      <c r="D129" s="62">
        <f>SUM(E129+CA129+CX129)</f>
        <v>151014708</v>
      </c>
      <c r="E129" s="63">
        <f>SUM(F129+BB129)</f>
        <v>150961460</v>
      </c>
      <c r="F129" s="63">
        <f t="shared" si="331"/>
        <v>140026323</v>
      </c>
      <c r="G129" s="64">
        <f>88837529+19995101</f>
        <v>108832630</v>
      </c>
      <c r="H129" s="64">
        <f>20933015+4710775</f>
        <v>25643790</v>
      </c>
      <c r="I129" s="63">
        <f t="shared" si="120"/>
        <v>2142121</v>
      </c>
      <c r="J129" s="64">
        <f>0+3748</f>
        <v>3748</v>
      </c>
      <c r="K129" s="64">
        <f>0+17967</f>
        <v>17967</v>
      </c>
      <c r="L129" s="64">
        <f>1461600+307614+115000</f>
        <v>1884214</v>
      </c>
      <c r="M129" s="64">
        <v>0</v>
      </c>
      <c r="N129" s="64">
        <f>110218+55754</f>
        <v>165972</v>
      </c>
      <c r="O129" s="64">
        <v>70220</v>
      </c>
      <c r="P129" s="63">
        <f t="shared" si="121"/>
        <v>0</v>
      </c>
      <c r="Q129" s="64">
        <v>0</v>
      </c>
      <c r="R129" s="64">
        <v>0</v>
      </c>
      <c r="S129" s="64">
        <v>0</v>
      </c>
      <c r="T129" s="64">
        <f>352322-8100</f>
        <v>344222</v>
      </c>
      <c r="U129" s="63">
        <f t="shared" si="332"/>
        <v>2550529</v>
      </c>
      <c r="V129" s="64">
        <v>0</v>
      </c>
      <c r="W129" s="64">
        <f>1732343+16751</f>
        <v>1749094</v>
      </c>
      <c r="X129" s="64">
        <v>440294</v>
      </c>
      <c r="Y129" s="64">
        <v>175109</v>
      </c>
      <c r="Z129" s="64">
        <f>177769+8100</f>
        <v>185869</v>
      </c>
      <c r="AA129" s="64">
        <v>0</v>
      </c>
      <c r="AB129" s="64">
        <v>0</v>
      </c>
      <c r="AC129" s="64">
        <v>163</v>
      </c>
      <c r="AD129" s="65">
        <v>0</v>
      </c>
      <c r="AE129" s="63">
        <f>SUM(AF129:BA129)</f>
        <v>513031</v>
      </c>
      <c r="AF129" s="65">
        <v>0</v>
      </c>
      <c r="AG129" s="65">
        <v>0</v>
      </c>
      <c r="AH129" s="64">
        <v>0</v>
      </c>
      <c r="AI129" s="64">
        <v>0</v>
      </c>
      <c r="AJ129" s="64">
        <f>201558+11526</f>
        <v>213084</v>
      </c>
      <c r="AK129" s="64">
        <f>0+8077</f>
        <v>8077</v>
      </c>
      <c r="AL129" s="64">
        <v>0</v>
      </c>
      <c r="AM129" s="64">
        <v>0</v>
      </c>
      <c r="AN129" s="64">
        <v>181892</v>
      </c>
      <c r="AO129" s="64">
        <v>0</v>
      </c>
      <c r="AP129" s="64">
        <v>0</v>
      </c>
      <c r="AQ129" s="64"/>
      <c r="AR129" s="64">
        <v>0</v>
      </c>
      <c r="AS129" s="64">
        <v>0</v>
      </c>
      <c r="AT129" s="64">
        <v>0</v>
      </c>
      <c r="AU129" s="64">
        <v>0</v>
      </c>
      <c r="AV129" s="64">
        <v>0</v>
      </c>
      <c r="AW129" s="64">
        <v>0</v>
      </c>
      <c r="AX129" s="64">
        <v>0</v>
      </c>
      <c r="AY129" s="64">
        <v>0</v>
      </c>
      <c r="AZ129" s="64">
        <v>0</v>
      </c>
      <c r="BA129" s="64">
        <v>109978</v>
      </c>
      <c r="BB129" s="63">
        <f>SUM(BC129+BG129+BJ129+BL129+BO129)</f>
        <v>10935137</v>
      </c>
      <c r="BC129" s="63">
        <f>SUM(BD129:BF129)</f>
        <v>0</v>
      </c>
      <c r="BD129" s="63">
        <v>0</v>
      </c>
      <c r="BE129" s="63">
        <v>0</v>
      </c>
      <c r="BF129" s="63">
        <v>0</v>
      </c>
      <c r="BG129" s="63">
        <f>SUM(BI129:BI129)</f>
        <v>0</v>
      </c>
      <c r="BH129" s="63">
        <v>0</v>
      </c>
      <c r="BI129" s="63">
        <v>0</v>
      </c>
      <c r="BJ129" s="63">
        <v>0</v>
      </c>
      <c r="BK129" s="63">
        <v>0</v>
      </c>
      <c r="BL129" s="63">
        <f t="shared" si="122"/>
        <v>0</v>
      </c>
      <c r="BM129" s="63">
        <v>0</v>
      </c>
      <c r="BN129" s="63">
        <v>0</v>
      </c>
      <c r="BO129" s="63">
        <f>SUM(BP129:BZ129)</f>
        <v>10935137</v>
      </c>
      <c r="BP129" s="63">
        <v>0</v>
      </c>
      <c r="BQ129" s="63">
        <v>0</v>
      </c>
      <c r="BR129" s="64">
        <f>8214697-246269-1465000</f>
        <v>6503428</v>
      </c>
      <c r="BS129" s="63">
        <v>0</v>
      </c>
      <c r="BT129" s="63">
        <v>0</v>
      </c>
      <c r="BU129" s="63">
        <v>0</v>
      </c>
      <c r="BV129" s="63">
        <v>0</v>
      </c>
      <c r="BW129" s="63">
        <v>0</v>
      </c>
      <c r="BX129" s="63">
        <v>0</v>
      </c>
      <c r="BY129" s="64">
        <f>5005661-1700000</f>
        <v>3305661</v>
      </c>
      <c r="BZ129" s="64">
        <f>1026048+100000</f>
        <v>1126048</v>
      </c>
      <c r="CA129" s="63">
        <f>SUM(CB129+CT129)</f>
        <v>53248</v>
      </c>
      <c r="CB129" s="63">
        <f>SUM(CC129+CF129+CL129)</f>
        <v>53248</v>
      </c>
      <c r="CC129" s="63">
        <f t="shared" si="123"/>
        <v>53248</v>
      </c>
      <c r="CD129" s="63">
        <v>0</v>
      </c>
      <c r="CE129" s="64">
        <v>53248</v>
      </c>
      <c r="CF129" s="63">
        <f t="shared" si="333"/>
        <v>0</v>
      </c>
      <c r="CG129" s="63">
        <v>0</v>
      </c>
      <c r="CH129" s="63">
        <v>0</v>
      </c>
      <c r="CI129" s="63">
        <v>0</v>
      </c>
      <c r="CJ129" s="63">
        <v>0</v>
      </c>
      <c r="CK129" s="63">
        <v>0</v>
      </c>
      <c r="CL129" s="63">
        <f>SUM(CM129:CQ129)</f>
        <v>0</v>
      </c>
      <c r="CM129" s="63">
        <v>0</v>
      </c>
      <c r="CN129" s="63">
        <v>0</v>
      </c>
      <c r="CO129" s="63">
        <v>0</v>
      </c>
      <c r="CP129" s="63"/>
      <c r="CQ129" s="63"/>
      <c r="CR129" s="63"/>
      <c r="CS129" s="63"/>
      <c r="CT129" s="63">
        <v>0</v>
      </c>
      <c r="CU129" s="63"/>
      <c r="CV129" s="63"/>
      <c r="CW129" s="63"/>
      <c r="CX129" s="63">
        <f t="shared" si="124"/>
        <v>0</v>
      </c>
      <c r="CY129" s="63">
        <f t="shared" si="125"/>
        <v>0</v>
      </c>
      <c r="CZ129" s="63">
        <v>0</v>
      </c>
      <c r="DA129" s="66">
        <v>0</v>
      </c>
    </row>
    <row r="130" spans="1:106" ht="15.75" x14ac:dyDescent="0.25">
      <c r="A130" s="72" t="s">
        <v>1</v>
      </c>
      <c r="B130" s="21" t="s">
        <v>96</v>
      </c>
      <c r="C130" s="22" t="s">
        <v>535</v>
      </c>
      <c r="D130" s="18">
        <f>SUM(E130+CA130+CX130)</f>
        <v>21141482</v>
      </c>
      <c r="E130" s="19">
        <f>SUM(F130+BB130)</f>
        <v>20924453</v>
      </c>
      <c r="F130" s="19">
        <f t="shared" si="331"/>
        <v>19832917</v>
      </c>
      <c r="G130" s="23">
        <f>12526509+2870658</f>
        <v>15397167</v>
      </c>
      <c r="H130" s="23">
        <f>3001888+687933</f>
        <v>3689821</v>
      </c>
      <c r="I130" s="19">
        <f t="shared" si="120"/>
        <v>338395</v>
      </c>
      <c r="J130" s="23">
        <v>5357</v>
      </c>
      <c r="K130" s="23">
        <v>9852</v>
      </c>
      <c r="L130" s="23">
        <v>219063</v>
      </c>
      <c r="M130" s="23">
        <v>0</v>
      </c>
      <c r="N130" s="23">
        <v>32379</v>
      </c>
      <c r="O130" s="23">
        <v>71744</v>
      </c>
      <c r="P130" s="19">
        <f t="shared" si="121"/>
        <v>0</v>
      </c>
      <c r="Q130" s="23">
        <v>0</v>
      </c>
      <c r="R130" s="23">
        <v>0</v>
      </c>
      <c r="S130" s="23">
        <v>0</v>
      </c>
      <c r="T130" s="23">
        <v>42957</v>
      </c>
      <c r="U130" s="19">
        <f t="shared" si="332"/>
        <v>238255</v>
      </c>
      <c r="V130" s="23">
        <v>1215</v>
      </c>
      <c r="W130" s="23">
        <f>171520+1963</f>
        <v>173483</v>
      </c>
      <c r="X130" s="23">
        <f>29542+3214+7600</f>
        <v>40356</v>
      </c>
      <c r="Y130" s="23">
        <f>13612+819</f>
        <v>14431</v>
      </c>
      <c r="Z130" s="23">
        <v>8770</v>
      </c>
      <c r="AA130" s="23">
        <v>0</v>
      </c>
      <c r="AB130" s="23">
        <v>0</v>
      </c>
      <c r="AC130" s="23">
        <v>0</v>
      </c>
      <c r="AD130" s="24">
        <v>0</v>
      </c>
      <c r="AE130" s="19">
        <f>SUM(AF130:BA130)</f>
        <v>126322</v>
      </c>
      <c r="AF130" s="24">
        <v>0</v>
      </c>
      <c r="AG130" s="24">
        <v>0</v>
      </c>
      <c r="AH130" s="23">
        <v>0</v>
      </c>
      <c r="AI130" s="23">
        <v>44226</v>
      </c>
      <c r="AJ130" s="23">
        <v>0</v>
      </c>
      <c r="AK130" s="23">
        <v>11709</v>
      </c>
      <c r="AL130" s="23">
        <v>0</v>
      </c>
      <c r="AM130" s="23">
        <v>786</v>
      </c>
      <c r="AN130" s="23">
        <v>12044</v>
      </c>
      <c r="AO130" s="23">
        <v>0</v>
      </c>
      <c r="AP130" s="23">
        <v>0</v>
      </c>
      <c r="AQ130" s="23"/>
      <c r="AR130" s="23">
        <v>0</v>
      </c>
      <c r="AS130" s="23">
        <v>0</v>
      </c>
      <c r="AT130" s="23">
        <v>45837</v>
      </c>
      <c r="AU130" s="23">
        <v>0</v>
      </c>
      <c r="AV130" s="23">
        <v>0</v>
      </c>
      <c r="AW130" s="23">
        <v>0</v>
      </c>
      <c r="AX130" s="23">
        <v>0</v>
      </c>
      <c r="AY130" s="23">
        <f>43126-22987-8419</f>
        <v>11720</v>
      </c>
      <c r="AZ130" s="23">
        <v>0</v>
      </c>
      <c r="BA130" s="23">
        <v>0</v>
      </c>
      <c r="BB130" s="19">
        <f>SUM(BC130+BG130+BJ130+BL130+BO130)</f>
        <v>1091536</v>
      </c>
      <c r="BC130" s="19">
        <f>SUM(BD130:BF130)</f>
        <v>0</v>
      </c>
      <c r="BD130" s="19">
        <v>0</v>
      </c>
      <c r="BE130" s="19">
        <v>0</v>
      </c>
      <c r="BF130" s="19">
        <v>0</v>
      </c>
      <c r="BG130" s="19">
        <f>SUM(BI130:BI130)</f>
        <v>0</v>
      </c>
      <c r="BH130" s="19">
        <v>0</v>
      </c>
      <c r="BI130" s="19">
        <v>0</v>
      </c>
      <c r="BJ130" s="19">
        <v>0</v>
      </c>
      <c r="BK130" s="19">
        <v>0</v>
      </c>
      <c r="BL130" s="19">
        <f t="shared" si="122"/>
        <v>0</v>
      </c>
      <c r="BM130" s="19">
        <v>0</v>
      </c>
      <c r="BN130" s="19">
        <v>0</v>
      </c>
      <c r="BO130" s="19">
        <f>SUM(BP130:BZ130)</f>
        <v>1091536</v>
      </c>
      <c r="BP130" s="19">
        <v>0</v>
      </c>
      <c r="BQ130" s="19">
        <v>0</v>
      </c>
      <c r="BR130" s="23">
        <v>636475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19">
        <v>0</v>
      </c>
      <c r="BY130" s="23">
        <v>455061</v>
      </c>
      <c r="BZ130" s="23"/>
      <c r="CA130" s="19">
        <f>SUM(CB130+CT130)</f>
        <v>217029</v>
      </c>
      <c r="CB130" s="19">
        <f>SUM(CC130+CF130+CL130)</f>
        <v>217029</v>
      </c>
      <c r="CC130" s="19">
        <f t="shared" si="123"/>
        <v>202214</v>
      </c>
      <c r="CD130" s="19">
        <v>0</v>
      </c>
      <c r="CE130" s="23">
        <f>205428-3214</f>
        <v>202214</v>
      </c>
      <c r="CF130" s="19">
        <f t="shared" si="333"/>
        <v>0</v>
      </c>
      <c r="CG130" s="19">
        <v>0</v>
      </c>
      <c r="CH130" s="19">
        <v>0</v>
      </c>
      <c r="CI130" s="19">
        <v>0</v>
      </c>
      <c r="CJ130" s="19">
        <v>0</v>
      </c>
      <c r="CK130" s="19">
        <v>0</v>
      </c>
      <c r="CL130" s="19">
        <f>SUM(CM130:CQ130)</f>
        <v>14815</v>
      </c>
      <c r="CM130" s="19"/>
      <c r="CN130" s="19">
        <v>14815</v>
      </c>
      <c r="CO130" s="19">
        <v>0</v>
      </c>
      <c r="CP130" s="19"/>
      <c r="CQ130" s="19"/>
      <c r="CR130" s="19"/>
      <c r="CS130" s="19"/>
      <c r="CT130" s="19">
        <v>0</v>
      </c>
      <c r="CU130" s="19"/>
      <c r="CV130" s="19"/>
      <c r="CW130" s="19"/>
      <c r="CX130" s="19">
        <f t="shared" si="124"/>
        <v>0</v>
      </c>
      <c r="CY130" s="19">
        <f t="shared" si="125"/>
        <v>0</v>
      </c>
      <c r="CZ130" s="19">
        <v>0</v>
      </c>
      <c r="DA130" s="20">
        <v>0</v>
      </c>
    </row>
    <row r="131" spans="1:106" s="86" customFormat="1" ht="31.5" x14ac:dyDescent="0.25">
      <c r="A131" s="71" t="s">
        <v>228</v>
      </c>
      <c r="B131" s="16" t="s">
        <v>1</v>
      </c>
      <c r="C131" s="17" t="s">
        <v>229</v>
      </c>
      <c r="D131" s="18">
        <f>SUM(D132)</f>
        <v>5087029</v>
      </c>
      <c r="E131" s="18">
        <f t="shared" ref="E131:BU131" si="334">SUM(E132)</f>
        <v>5087029</v>
      </c>
      <c r="F131" s="18">
        <f t="shared" si="334"/>
        <v>5087029</v>
      </c>
      <c r="G131" s="18">
        <f t="shared" si="334"/>
        <v>4012683</v>
      </c>
      <c r="H131" s="18">
        <f t="shared" si="334"/>
        <v>908945</v>
      </c>
      <c r="I131" s="18">
        <f t="shared" si="334"/>
        <v>61489</v>
      </c>
      <c r="J131" s="18">
        <f t="shared" si="334"/>
        <v>0</v>
      </c>
      <c r="K131" s="18">
        <f t="shared" si="334"/>
        <v>0</v>
      </c>
      <c r="L131" s="18">
        <f t="shared" si="334"/>
        <v>0</v>
      </c>
      <c r="M131" s="18">
        <f t="shared" si="334"/>
        <v>0</v>
      </c>
      <c r="N131" s="18">
        <f t="shared" si="334"/>
        <v>49533</v>
      </c>
      <c r="O131" s="18">
        <f t="shared" si="334"/>
        <v>11956</v>
      </c>
      <c r="P131" s="18">
        <f t="shared" si="334"/>
        <v>896</v>
      </c>
      <c r="Q131" s="18">
        <f t="shared" si="334"/>
        <v>896</v>
      </c>
      <c r="R131" s="18">
        <f t="shared" si="334"/>
        <v>0</v>
      </c>
      <c r="S131" s="18">
        <f t="shared" si="334"/>
        <v>0</v>
      </c>
      <c r="T131" s="18">
        <f t="shared" si="334"/>
        <v>14136</v>
      </c>
      <c r="U131" s="18">
        <f t="shared" si="334"/>
        <v>81576</v>
      </c>
      <c r="V131" s="18">
        <f t="shared" si="334"/>
        <v>2848</v>
      </c>
      <c r="W131" s="18">
        <f t="shared" si="334"/>
        <v>61443</v>
      </c>
      <c r="X131" s="18">
        <f t="shared" si="334"/>
        <v>10777</v>
      </c>
      <c r="Y131" s="18">
        <f t="shared" si="334"/>
        <v>4730</v>
      </c>
      <c r="Z131" s="18">
        <f t="shared" si="334"/>
        <v>1778</v>
      </c>
      <c r="AA131" s="18">
        <f t="shared" si="334"/>
        <v>0</v>
      </c>
      <c r="AB131" s="18">
        <f t="shared" si="334"/>
        <v>0</v>
      </c>
      <c r="AC131" s="18">
        <f t="shared" si="334"/>
        <v>0</v>
      </c>
      <c r="AD131" s="18">
        <f t="shared" si="334"/>
        <v>0</v>
      </c>
      <c r="AE131" s="18">
        <f t="shared" si="334"/>
        <v>7304</v>
      </c>
      <c r="AF131" s="18">
        <f t="shared" si="334"/>
        <v>0</v>
      </c>
      <c r="AG131" s="18">
        <f t="shared" si="334"/>
        <v>0</v>
      </c>
      <c r="AH131" s="18">
        <f t="shared" si="334"/>
        <v>1271</v>
      </c>
      <c r="AI131" s="18">
        <f t="shared" si="334"/>
        <v>1998</v>
      </c>
      <c r="AJ131" s="18">
        <f t="shared" si="334"/>
        <v>0</v>
      </c>
      <c r="AK131" s="18">
        <f t="shared" si="334"/>
        <v>984</v>
      </c>
      <c r="AL131" s="18">
        <f t="shared" si="334"/>
        <v>0</v>
      </c>
      <c r="AM131" s="18">
        <f t="shared" si="334"/>
        <v>546</v>
      </c>
      <c r="AN131" s="18">
        <f t="shared" si="334"/>
        <v>2505</v>
      </c>
      <c r="AO131" s="18">
        <f t="shared" si="334"/>
        <v>0</v>
      </c>
      <c r="AP131" s="18">
        <f t="shared" si="334"/>
        <v>0</v>
      </c>
      <c r="AQ131" s="18"/>
      <c r="AR131" s="18">
        <f t="shared" si="334"/>
        <v>0</v>
      </c>
      <c r="AS131" s="18">
        <f t="shared" si="334"/>
        <v>0</v>
      </c>
      <c r="AT131" s="18">
        <f t="shared" si="334"/>
        <v>0</v>
      </c>
      <c r="AU131" s="18"/>
      <c r="AV131" s="18"/>
      <c r="AW131" s="18">
        <f t="shared" si="334"/>
        <v>0</v>
      </c>
      <c r="AX131" s="18">
        <f t="shared" si="334"/>
        <v>0</v>
      </c>
      <c r="AY131" s="18">
        <f t="shared" si="334"/>
        <v>0</v>
      </c>
      <c r="AZ131" s="18"/>
      <c r="BA131" s="18">
        <f t="shared" si="334"/>
        <v>0</v>
      </c>
      <c r="BB131" s="18">
        <f t="shared" si="334"/>
        <v>0</v>
      </c>
      <c r="BC131" s="18">
        <f t="shared" si="334"/>
        <v>0</v>
      </c>
      <c r="BD131" s="18">
        <f t="shared" si="334"/>
        <v>0</v>
      </c>
      <c r="BE131" s="18">
        <f t="shared" si="334"/>
        <v>0</v>
      </c>
      <c r="BF131" s="18">
        <f t="shared" si="334"/>
        <v>0</v>
      </c>
      <c r="BG131" s="18">
        <f t="shared" si="334"/>
        <v>0</v>
      </c>
      <c r="BH131" s="18">
        <f t="shared" si="334"/>
        <v>0</v>
      </c>
      <c r="BI131" s="18">
        <f t="shared" si="334"/>
        <v>0</v>
      </c>
      <c r="BJ131" s="18">
        <f t="shared" si="334"/>
        <v>0</v>
      </c>
      <c r="BK131" s="18">
        <f t="shared" si="334"/>
        <v>0</v>
      </c>
      <c r="BL131" s="18">
        <f t="shared" si="334"/>
        <v>0</v>
      </c>
      <c r="BM131" s="18">
        <f t="shared" si="334"/>
        <v>0</v>
      </c>
      <c r="BN131" s="18">
        <f t="shared" si="334"/>
        <v>0</v>
      </c>
      <c r="BO131" s="18">
        <f t="shared" si="334"/>
        <v>0</v>
      </c>
      <c r="BP131" s="18">
        <f t="shared" si="334"/>
        <v>0</v>
      </c>
      <c r="BQ131" s="18">
        <f t="shared" si="334"/>
        <v>0</v>
      </c>
      <c r="BR131" s="18">
        <f t="shared" si="334"/>
        <v>0</v>
      </c>
      <c r="BS131" s="18">
        <f t="shared" si="334"/>
        <v>0</v>
      </c>
      <c r="BT131" s="18">
        <f t="shared" si="334"/>
        <v>0</v>
      </c>
      <c r="BU131" s="18">
        <f t="shared" si="334"/>
        <v>0</v>
      </c>
      <c r="BV131" s="18">
        <f t="shared" ref="BV131:DA131" si="335">SUM(BV132)</f>
        <v>0</v>
      </c>
      <c r="BW131" s="18">
        <f t="shared" si="335"/>
        <v>0</v>
      </c>
      <c r="BX131" s="18">
        <f t="shared" si="335"/>
        <v>0</v>
      </c>
      <c r="BY131" s="18">
        <f t="shared" si="335"/>
        <v>0</v>
      </c>
      <c r="BZ131" s="18">
        <f t="shared" si="335"/>
        <v>0</v>
      </c>
      <c r="CA131" s="18">
        <f t="shared" si="335"/>
        <v>0</v>
      </c>
      <c r="CB131" s="18">
        <f t="shared" si="335"/>
        <v>0</v>
      </c>
      <c r="CC131" s="18">
        <f t="shared" si="335"/>
        <v>0</v>
      </c>
      <c r="CD131" s="18">
        <f t="shared" si="335"/>
        <v>0</v>
      </c>
      <c r="CE131" s="18">
        <f t="shared" si="335"/>
        <v>0</v>
      </c>
      <c r="CF131" s="18">
        <f t="shared" si="335"/>
        <v>0</v>
      </c>
      <c r="CG131" s="18">
        <f t="shared" si="335"/>
        <v>0</v>
      </c>
      <c r="CH131" s="18">
        <f t="shared" si="335"/>
        <v>0</v>
      </c>
      <c r="CI131" s="18">
        <f t="shared" si="335"/>
        <v>0</v>
      </c>
      <c r="CJ131" s="18">
        <f t="shared" si="335"/>
        <v>0</v>
      </c>
      <c r="CK131" s="18">
        <f t="shared" si="335"/>
        <v>0</v>
      </c>
      <c r="CL131" s="18">
        <f t="shared" si="335"/>
        <v>0</v>
      </c>
      <c r="CM131" s="18">
        <f t="shared" si="335"/>
        <v>0</v>
      </c>
      <c r="CN131" s="18">
        <f t="shared" si="335"/>
        <v>0</v>
      </c>
      <c r="CO131" s="18">
        <f t="shared" si="335"/>
        <v>0</v>
      </c>
      <c r="CP131" s="18"/>
      <c r="CQ131" s="18"/>
      <c r="CR131" s="18"/>
      <c r="CS131" s="18"/>
      <c r="CT131" s="18">
        <f t="shared" si="335"/>
        <v>0</v>
      </c>
      <c r="CU131" s="18"/>
      <c r="CV131" s="18"/>
      <c r="CW131" s="18"/>
      <c r="CX131" s="18">
        <f t="shared" si="335"/>
        <v>0</v>
      </c>
      <c r="CY131" s="18">
        <f t="shared" si="335"/>
        <v>0</v>
      </c>
      <c r="CZ131" s="18">
        <f t="shared" si="335"/>
        <v>0</v>
      </c>
      <c r="DA131" s="46">
        <f t="shared" si="335"/>
        <v>0</v>
      </c>
      <c r="DB131" s="85"/>
    </row>
    <row r="132" spans="1:106" ht="31.5" x14ac:dyDescent="0.25">
      <c r="A132" s="72" t="s">
        <v>1</v>
      </c>
      <c r="B132" s="21" t="s">
        <v>86</v>
      </c>
      <c r="C132" s="22" t="s">
        <v>230</v>
      </c>
      <c r="D132" s="18">
        <f>SUM(E132+CA132+CX132)</f>
        <v>5087029</v>
      </c>
      <c r="E132" s="19">
        <f>SUM(F132+BB132)</f>
        <v>5087029</v>
      </c>
      <c r="F132" s="19">
        <f>SUM(G132+H132+I132+P132+S132+T132+U132+AE132)</f>
        <v>5087029</v>
      </c>
      <c r="G132" s="19">
        <f>3264556+748127</f>
        <v>4012683</v>
      </c>
      <c r="H132" s="19">
        <f>739480+169465</f>
        <v>908945</v>
      </c>
      <c r="I132" s="19">
        <f t="shared" si="120"/>
        <v>61489</v>
      </c>
      <c r="J132" s="19">
        <v>0</v>
      </c>
      <c r="K132" s="19">
        <v>0</v>
      </c>
      <c r="L132" s="19">
        <v>0</v>
      </c>
      <c r="M132" s="19">
        <v>0</v>
      </c>
      <c r="N132" s="24">
        <v>49533</v>
      </c>
      <c r="O132" s="24">
        <v>11956</v>
      </c>
      <c r="P132" s="19">
        <f t="shared" si="121"/>
        <v>896</v>
      </c>
      <c r="Q132" s="24">
        <v>896</v>
      </c>
      <c r="R132" s="19">
        <v>0</v>
      </c>
      <c r="S132" s="19">
        <v>0</v>
      </c>
      <c r="T132" s="24">
        <v>14136</v>
      </c>
      <c r="U132" s="19">
        <f>SUM(V132:AC132)</f>
        <v>81576</v>
      </c>
      <c r="V132" s="23">
        <v>2848</v>
      </c>
      <c r="W132" s="23">
        <f>42194+19249</f>
        <v>61443</v>
      </c>
      <c r="X132" s="23">
        <f>9521+1256</f>
        <v>10777</v>
      </c>
      <c r="Y132" s="23">
        <f>4490+240</f>
        <v>4730</v>
      </c>
      <c r="Z132" s="23">
        <v>1778</v>
      </c>
      <c r="AA132" s="23">
        <v>0</v>
      </c>
      <c r="AB132" s="23">
        <v>0</v>
      </c>
      <c r="AC132" s="23">
        <v>0</v>
      </c>
      <c r="AD132" s="19">
        <v>0</v>
      </c>
      <c r="AE132" s="19">
        <f>SUM(AF132:BA132)</f>
        <v>7304</v>
      </c>
      <c r="AF132" s="19">
        <v>0</v>
      </c>
      <c r="AG132" s="19">
        <v>0</v>
      </c>
      <c r="AH132" s="23">
        <v>1271</v>
      </c>
      <c r="AI132" s="23">
        <v>1998</v>
      </c>
      <c r="AJ132" s="23">
        <v>0</v>
      </c>
      <c r="AK132" s="23">
        <v>984</v>
      </c>
      <c r="AL132" s="23">
        <v>0</v>
      </c>
      <c r="AM132" s="23">
        <v>546</v>
      </c>
      <c r="AN132" s="23">
        <v>2505</v>
      </c>
      <c r="AO132" s="23">
        <v>0</v>
      </c>
      <c r="AP132" s="23">
        <v>0</v>
      </c>
      <c r="AQ132" s="23"/>
      <c r="AR132" s="23">
        <v>0</v>
      </c>
      <c r="AS132" s="23">
        <v>0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0</v>
      </c>
      <c r="BA132" s="23">
        <v>0</v>
      </c>
      <c r="BB132" s="19">
        <f>SUM(BC132+BG132+BJ132+BL132+BO132)</f>
        <v>0</v>
      </c>
      <c r="BC132" s="19">
        <f>SUM(BD132:BF132)</f>
        <v>0</v>
      </c>
      <c r="BD132" s="19">
        <v>0</v>
      </c>
      <c r="BE132" s="19">
        <v>0</v>
      </c>
      <c r="BF132" s="19">
        <v>0</v>
      </c>
      <c r="BG132" s="19">
        <f>SUM(BI132:BI132)</f>
        <v>0</v>
      </c>
      <c r="BH132" s="19">
        <v>0</v>
      </c>
      <c r="BI132" s="19">
        <v>0</v>
      </c>
      <c r="BJ132" s="19">
        <v>0</v>
      </c>
      <c r="BK132" s="19">
        <v>0</v>
      </c>
      <c r="BL132" s="19">
        <f t="shared" si="122"/>
        <v>0</v>
      </c>
      <c r="BM132" s="19">
        <v>0</v>
      </c>
      <c r="BN132" s="19">
        <v>0</v>
      </c>
      <c r="BO132" s="19">
        <f>SUM(BP132:BZ132)</f>
        <v>0</v>
      </c>
      <c r="BP132" s="19">
        <v>0</v>
      </c>
      <c r="BQ132" s="19">
        <v>0</v>
      </c>
      <c r="BR132" s="19">
        <v>0</v>
      </c>
      <c r="BS132" s="19">
        <v>0</v>
      </c>
      <c r="BT132" s="19">
        <v>0</v>
      </c>
      <c r="BU132" s="19">
        <v>0</v>
      </c>
      <c r="BV132" s="19">
        <v>0</v>
      </c>
      <c r="BW132" s="19">
        <v>0</v>
      </c>
      <c r="BX132" s="19">
        <v>0</v>
      </c>
      <c r="BY132" s="19">
        <v>0</v>
      </c>
      <c r="BZ132" s="19">
        <v>0</v>
      </c>
      <c r="CA132" s="19">
        <f>SUM(CB132+CT132)</f>
        <v>0</v>
      </c>
      <c r="CB132" s="19">
        <f>SUM(CC132+CF132+CL132)</f>
        <v>0</v>
      </c>
      <c r="CC132" s="19">
        <f t="shared" si="123"/>
        <v>0</v>
      </c>
      <c r="CD132" s="19">
        <v>0</v>
      </c>
      <c r="CE132" s="19"/>
      <c r="CF132" s="19">
        <f>SUM(CG132:CK132)</f>
        <v>0</v>
      </c>
      <c r="CG132" s="19">
        <v>0</v>
      </c>
      <c r="CH132" s="19">
        <v>0</v>
      </c>
      <c r="CI132" s="19">
        <v>0</v>
      </c>
      <c r="CJ132" s="19">
        <v>0</v>
      </c>
      <c r="CK132" s="19">
        <v>0</v>
      </c>
      <c r="CL132" s="19">
        <f>SUM(CM132:CQ132)</f>
        <v>0</v>
      </c>
      <c r="CM132" s="19">
        <v>0</v>
      </c>
      <c r="CN132" s="19">
        <v>0</v>
      </c>
      <c r="CO132" s="19">
        <v>0</v>
      </c>
      <c r="CP132" s="19"/>
      <c r="CQ132" s="19"/>
      <c r="CR132" s="19"/>
      <c r="CS132" s="19"/>
      <c r="CT132" s="19">
        <v>0</v>
      </c>
      <c r="CU132" s="19"/>
      <c r="CV132" s="19"/>
      <c r="CW132" s="19"/>
      <c r="CX132" s="19">
        <f t="shared" si="124"/>
        <v>0</v>
      </c>
      <c r="CY132" s="19">
        <f t="shared" si="125"/>
        <v>0</v>
      </c>
      <c r="CZ132" s="19">
        <v>0</v>
      </c>
      <c r="DA132" s="20">
        <v>0</v>
      </c>
    </row>
    <row r="133" spans="1:106" s="86" customFormat="1" ht="15.75" x14ac:dyDescent="0.25">
      <c r="A133" s="71" t="s">
        <v>231</v>
      </c>
      <c r="B133" s="16" t="s">
        <v>1</v>
      </c>
      <c r="C133" s="17" t="s">
        <v>232</v>
      </c>
      <c r="D133" s="18">
        <f t="shared" ref="D133:AK133" si="336">SUM(D134)</f>
        <v>9326842</v>
      </c>
      <c r="E133" s="18">
        <f t="shared" si="336"/>
        <v>9119121</v>
      </c>
      <c r="F133" s="18">
        <f t="shared" si="336"/>
        <v>7737996</v>
      </c>
      <c r="G133" s="18">
        <f t="shared" si="336"/>
        <v>4346052</v>
      </c>
      <c r="H133" s="18">
        <f t="shared" si="336"/>
        <v>1028957</v>
      </c>
      <c r="I133" s="18">
        <f t="shared" si="336"/>
        <v>1862068</v>
      </c>
      <c r="J133" s="18">
        <f t="shared" si="336"/>
        <v>20069</v>
      </c>
      <c r="K133" s="18">
        <f t="shared" si="336"/>
        <v>179331</v>
      </c>
      <c r="L133" s="18">
        <f t="shared" si="336"/>
        <v>1224098</v>
      </c>
      <c r="M133" s="18">
        <f t="shared" si="336"/>
        <v>0</v>
      </c>
      <c r="N133" s="18">
        <f t="shared" si="336"/>
        <v>156810</v>
      </c>
      <c r="O133" s="18">
        <f t="shared" si="336"/>
        <v>281760</v>
      </c>
      <c r="P133" s="18">
        <f t="shared" si="336"/>
        <v>0</v>
      </c>
      <c r="Q133" s="18">
        <f t="shared" si="336"/>
        <v>0</v>
      </c>
      <c r="R133" s="18">
        <f t="shared" si="336"/>
        <v>0</v>
      </c>
      <c r="S133" s="18">
        <f t="shared" si="336"/>
        <v>0</v>
      </c>
      <c r="T133" s="18">
        <f t="shared" si="336"/>
        <v>9024</v>
      </c>
      <c r="U133" s="18">
        <f t="shared" si="336"/>
        <v>244491</v>
      </c>
      <c r="V133" s="18">
        <f t="shared" si="336"/>
        <v>17057</v>
      </c>
      <c r="W133" s="18">
        <f t="shared" si="336"/>
        <v>138222</v>
      </c>
      <c r="X133" s="18">
        <f t="shared" si="336"/>
        <v>42009</v>
      </c>
      <c r="Y133" s="18">
        <f t="shared" si="336"/>
        <v>42092</v>
      </c>
      <c r="Z133" s="18">
        <f t="shared" si="336"/>
        <v>5111</v>
      </c>
      <c r="AA133" s="18">
        <f t="shared" si="336"/>
        <v>0</v>
      </c>
      <c r="AB133" s="18">
        <f t="shared" si="336"/>
        <v>0</v>
      </c>
      <c r="AC133" s="18">
        <f t="shared" si="336"/>
        <v>0</v>
      </c>
      <c r="AD133" s="18">
        <f t="shared" si="336"/>
        <v>0</v>
      </c>
      <c r="AE133" s="18">
        <f t="shared" si="336"/>
        <v>247404</v>
      </c>
      <c r="AF133" s="18">
        <f t="shared" si="336"/>
        <v>0</v>
      </c>
      <c r="AG133" s="18">
        <f t="shared" si="336"/>
        <v>0</v>
      </c>
      <c r="AH133" s="18">
        <f t="shared" si="336"/>
        <v>7800</v>
      </c>
      <c r="AI133" s="18">
        <f t="shared" si="336"/>
        <v>23451</v>
      </c>
      <c r="AJ133" s="18">
        <f t="shared" si="336"/>
        <v>2145</v>
      </c>
      <c r="AK133" s="18">
        <f t="shared" si="336"/>
        <v>2057</v>
      </c>
      <c r="AL133" s="18">
        <f t="shared" ref="AL133:DA133" si="337">SUM(AL134)</f>
        <v>0</v>
      </c>
      <c r="AM133" s="18">
        <f t="shared" si="337"/>
        <v>22600</v>
      </c>
      <c r="AN133" s="18">
        <f t="shared" si="337"/>
        <v>1510</v>
      </c>
      <c r="AO133" s="18">
        <f t="shared" si="337"/>
        <v>0</v>
      </c>
      <c r="AP133" s="18">
        <f t="shared" si="337"/>
        <v>0</v>
      </c>
      <c r="AQ133" s="18"/>
      <c r="AR133" s="18">
        <f t="shared" si="337"/>
        <v>0</v>
      </c>
      <c r="AS133" s="18">
        <f t="shared" si="337"/>
        <v>175971</v>
      </c>
      <c r="AT133" s="18">
        <f t="shared" si="337"/>
        <v>0</v>
      </c>
      <c r="AU133" s="18"/>
      <c r="AV133" s="18"/>
      <c r="AW133" s="18">
        <f t="shared" si="337"/>
        <v>0</v>
      </c>
      <c r="AX133" s="18">
        <f t="shared" si="337"/>
        <v>0</v>
      </c>
      <c r="AY133" s="18">
        <f t="shared" si="337"/>
        <v>0</v>
      </c>
      <c r="AZ133" s="18"/>
      <c r="BA133" s="18">
        <f t="shared" si="337"/>
        <v>11870</v>
      </c>
      <c r="BB133" s="18">
        <f t="shared" si="337"/>
        <v>1381125</v>
      </c>
      <c r="BC133" s="18">
        <f t="shared" si="337"/>
        <v>0</v>
      </c>
      <c r="BD133" s="18">
        <f t="shared" si="337"/>
        <v>0</v>
      </c>
      <c r="BE133" s="18">
        <f t="shared" si="337"/>
        <v>0</v>
      </c>
      <c r="BF133" s="18">
        <f t="shared" si="337"/>
        <v>0</v>
      </c>
      <c r="BG133" s="18">
        <f t="shared" si="337"/>
        <v>0</v>
      </c>
      <c r="BH133" s="18">
        <f t="shared" si="337"/>
        <v>0</v>
      </c>
      <c r="BI133" s="18">
        <f t="shared" si="337"/>
        <v>0</v>
      </c>
      <c r="BJ133" s="18">
        <f t="shared" si="337"/>
        <v>0</v>
      </c>
      <c r="BK133" s="18">
        <f t="shared" si="337"/>
        <v>0</v>
      </c>
      <c r="BL133" s="18">
        <f t="shared" si="337"/>
        <v>0</v>
      </c>
      <c r="BM133" s="18">
        <f t="shared" si="337"/>
        <v>0</v>
      </c>
      <c r="BN133" s="18">
        <f t="shared" si="337"/>
        <v>0</v>
      </c>
      <c r="BO133" s="18">
        <f t="shared" si="337"/>
        <v>1381125</v>
      </c>
      <c r="BP133" s="18">
        <f t="shared" si="337"/>
        <v>0</v>
      </c>
      <c r="BQ133" s="18">
        <f t="shared" si="337"/>
        <v>0</v>
      </c>
      <c r="BR133" s="18">
        <f t="shared" si="337"/>
        <v>0</v>
      </c>
      <c r="BS133" s="18">
        <f t="shared" si="337"/>
        <v>0</v>
      </c>
      <c r="BT133" s="18">
        <f t="shared" si="337"/>
        <v>0</v>
      </c>
      <c r="BU133" s="18">
        <f t="shared" si="337"/>
        <v>0</v>
      </c>
      <c r="BV133" s="18">
        <f t="shared" si="337"/>
        <v>0</v>
      </c>
      <c r="BW133" s="18">
        <f t="shared" si="337"/>
        <v>0</v>
      </c>
      <c r="BX133" s="18">
        <f t="shared" si="337"/>
        <v>0</v>
      </c>
      <c r="BY133" s="18">
        <f t="shared" si="337"/>
        <v>0</v>
      </c>
      <c r="BZ133" s="18">
        <f t="shared" si="337"/>
        <v>1381125</v>
      </c>
      <c r="CA133" s="18">
        <f t="shared" si="337"/>
        <v>207721</v>
      </c>
      <c r="CB133" s="18">
        <f t="shared" si="337"/>
        <v>207721</v>
      </c>
      <c r="CC133" s="18">
        <f t="shared" si="337"/>
        <v>190505</v>
      </c>
      <c r="CD133" s="18">
        <f t="shared" si="337"/>
        <v>0</v>
      </c>
      <c r="CE133" s="18">
        <f t="shared" si="337"/>
        <v>190505</v>
      </c>
      <c r="CF133" s="18">
        <f t="shared" si="337"/>
        <v>0</v>
      </c>
      <c r="CG133" s="18">
        <f t="shared" si="337"/>
        <v>0</v>
      </c>
      <c r="CH133" s="18">
        <f t="shared" si="337"/>
        <v>0</v>
      </c>
      <c r="CI133" s="18">
        <f t="shared" si="337"/>
        <v>0</v>
      </c>
      <c r="CJ133" s="18">
        <f t="shared" si="337"/>
        <v>0</v>
      </c>
      <c r="CK133" s="18">
        <f t="shared" si="337"/>
        <v>0</v>
      </c>
      <c r="CL133" s="18">
        <f t="shared" si="337"/>
        <v>17216</v>
      </c>
      <c r="CM133" s="18">
        <f t="shared" si="337"/>
        <v>0</v>
      </c>
      <c r="CN133" s="18">
        <f t="shared" si="337"/>
        <v>17216</v>
      </c>
      <c r="CO133" s="18">
        <f t="shared" si="337"/>
        <v>0</v>
      </c>
      <c r="CP133" s="18"/>
      <c r="CQ133" s="18"/>
      <c r="CR133" s="18"/>
      <c r="CS133" s="18"/>
      <c r="CT133" s="18">
        <f t="shared" si="337"/>
        <v>0</v>
      </c>
      <c r="CU133" s="18"/>
      <c r="CV133" s="18"/>
      <c r="CW133" s="18"/>
      <c r="CX133" s="18">
        <f t="shared" si="337"/>
        <v>0</v>
      </c>
      <c r="CY133" s="18">
        <f t="shared" si="337"/>
        <v>0</v>
      </c>
      <c r="CZ133" s="18">
        <f t="shared" si="337"/>
        <v>0</v>
      </c>
      <c r="DA133" s="46">
        <f t="shared" si="337"/>
        <v>0</v>
      </c>
      <c r="DB133" s="85"/>
    </row>
    <row r="134" spans="1:106" ht="15.75" x14ac:dyDescent="0.25">
      <c r="A134" s="72" t="s">
        <v>1</v>
      </c>
      <c r="B134" s="21" t="s">
        <v>82</v>
      </c>
      <c r="C134" s="22" t="s">
        <v>233</v>
      </c>
      <c r="D134" s="18">
        <f>SUM(E134+CA134+CX134)</f>
        <v>9326842</v>
      </c>
      <c r="E134" s="19">
        <f>SUM(F134+BB134)</f>
        <v>9119121</v>
      </c>
      <c r="F134" s="19">
        <f>SUM(G134+H134+I134+P134+S134+T134+U134+AE134)</f>
        <v>7737996</v>
      </c>
      <c r="G134" s="23">
        <f>3535771+810281</f>
        <v>4346052</v>
      </c>
      <c r="H134" s="23">
        <f>837118+191839</f>
        <v>1028957</v>
      </c>
      <c r="I134" s="19">
        <f t="shared" si="120"/>
        <v>1862068</v>
      </c>
      <c r="J134" s="23">
        <v>20069</v>
      </c>
      <c r="K134" s="23">
        <f>181482-2151</f>
        <v>179331</v>
      </c>
      <c r="L134" s="23">
        <v>1224098</v>
      </c>
      <c r="M134" s="23">
        <v>0</v>
      </c>
      <c r="N134" s="23">
        <v>156810</v>
      </c>
      <c r="O134" s="23">
        <v>281760</v>
      </c>
      <c r="P134" s="19">
        <f t="shared" si="121"/>
        <v>0</v>
      </c>
      <c r="Q134" s="19">
        <v>0</v>
      </c>
      <c r="R134" s="19">
        <v>0</v>
      </c>
      <c r="S134" s="19">
        <v>0</v>
      </c>
      <c r="T134" s="23">
        <f>6873+2151</f>
        <v>9024</v>
      </c>
      <c r="U134" s="19">
        <f>SUM(V134:AC134)</f>
        <v>244491</v>
      </c>
      <c r="V134" s="23">
        <v>17057</v>
      </c>
      <c r="W134" s="23">
        <f>133864+4358</f>
        <v>138222</v>
      </c>
      <c r="X134" s="23">
        <f>43852-1843</f>
        <v>42009</v>
      </c>
      <c r="Y134" s="23">
        <v>42092</v>
      </c>
      <c r="Z134" s="23">
        <v>5111</v>
      </c>
      <c r="AA134" s="23">
        <v>0</v>
      </c>
      <c r="AB134" s="23">
        <v>0</v>
      </c>
      <c r="AC134" s="23">
        <v>0</v>
      </c>
      <c r="AD134" s="19">
        <v>0</v>
      </c>
      <c r="AE134" s="19">
        <f>SUM(AF134:BA134)</f>
        <v>247404</v>
      </c>
      <c r="AF134" s="19">
        <v>0</v>
      </c>
      <c r="AG134" s="19">
        <v>0</v>
      </c>
      <c r="AH134" s="23">
        <v>7800</v>
      </c>
      <c r="AI134" s="23">
        <v>23451</v>
      </c>
      <c r="AJ134" s="23">
        <v>2145</v>
      </c>
      <c r="AK134" s="23">
        <v>2057</v>
      </c>
      <c r="AL134" s="23">
        <v>0</v>
      </c>
      <c r="AM134" s="23">
        <v>22600</v>
      </c>
      <c r="AN134" s="23">
        <v>1510</v>
      </c>
      <c r="AO134" s="23">
        <v>0</v>
      </c>
      <c r="AP134" s="23">
        <v>0</v>
      </c>
      <c r="AQ134" s="23"/>
      <c r="AR134" s="23">
        <v>0</v>
      </c>
      <c r="AS134" s="23">
        <v>175971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23">
        <v>11870</v>
      </c>
      <c r="BB134" s="19">
        <f>SUM(BC134+BG134+BJ134+BL134+BO134)</f>
        <v>1381125</v>
      </c>
      <c r="BC134" s="19">
        <f>SUM(BD134:BF134)</f>
        <v>0</v>
      </c>
      <c r="BD134" s="19">
        <v>0</v>
      </c>
      <c r="BE134" s="19">
        <v>0</v>
      </c>
      <c r="BF134" s="19">
        <v>0</v>
      </c>
      <c r="BG134" s="19">
        <f>SUM(BI134:BI134)</f>
        <v>0</v>
      </c>
      <c r="BH134" s="19">
        <v>0</v>
      </c>
      <c r="BI134" s="19">
        <v>0</v>
      </c>
      <c r="BJ134" s="19">
        <v>0</v>
      </c>
      <c r="BK134" s="19">
        <v>0</v>
      </c>
      <c r="BL134" s="19">
        <f t="shared" si="122"/>
        <v>0</v>
      </c>
      <c r="BM134" s="19">
        <v>0</v>
      </c>
      <c r="BN134" s="19">
        <v>0</v>
      </c>
      <c r="BO134" s="19">
        <f>SUM(BP134:BZ134)</f>
        <v>1381125</v>
      </c>
      <c r="BP134" s="19">
        <v>0</v>
      </c>
      <c r="BQ134" s="19">
        <v>0</v>
      </c>
      <c r="BR134" s="19">
        <v>0</v>
      </c>
      <c r="BS134" s="19">
        <v>0</v>
      </c>
      <c r="BT134" s="19">
        <v>0</v>
      </c>
      <c r="BU134" s="19"/>
      <c r="BV134" s="19">
        <v>0</v>
      </c>
      <c r="BW134" s="19">
        <v>0</v>
      </c>
      <c r="BX134" s="19">
        <v>0</v>
      </c>
      <c r="BY134" s="19">
        <v>0</v>
      </c>
      <c r="BZ134" s="23">
        <v>1381125</v>
      </c>
      <c r="CA134" s="19">
        <f>SUM(CB134+CT134)</f>
        <v>207721</v>
      </c>
      <c r="CB134" s="19">
        <f>SUM(CC134+CF134+CL134)</f>
        <v>207721</v>
      </c>
      <c r="CC134" s="19">
        <f t="shared" si="123"/>
        <v>190505</v>
      </c>
      <c r="CD134" s="19">
        <v>0</v>
      </c>
      <c r="CE134" s="23">
        <v>190505</v>
      </c>
      <c r="CF134" s="19">
        <f>SUM(CG134:CK134)</f>
        <v>0</v>
      </c>
      <c r="CG134" s="19">
        <v>0</v>
      </c>
      <c r="CH134" s="19">
        <v>0</v>
      </c>
      <c r="CI134" s="19">
        <v>0</v>
      </c>
      <c r="CJ134" s="19">
        <v>0</v>
      </c>
      <c r="CK134" s="19">
        <v>0</v>
      </c>
      <c r="CL134" s="19">
        <f>SUM(CM134:CQ134)</f>
        <v>17216</v>
      </c>
      <c r="CM134" s="19"/>
      <c r="CN134" s="19">
        <v>17216</v>
      </c>
      <c r="CO134" s="19">
        <v>0</v>
      </c>
      <c r="CP134" s="19"/>
      <c r="CQ134" s="19"/>
      <c r="CR134" s="19"/>
      <c r="CS134" s="19"/>
      <c r="CT134" s="19">
        <v>0</v>
      </c>
      <c r="CU134" s="19"/>
      <c r="CV134" s="19"/>
      <c r="CW134" s="19"/>
      <c r="CX134" s="19">
        <f t="shared" si="124"/>
        <v>0</v>
      </c>
      <c r="CY134" s="19">
        <f t="shared" si="125"/>
        <v>0</v>
      </c>
      <c r="CZ134" s="19">
        <v>0</v>
      </c>
      <c r="DA134" s="20">
        <v>0</v>
      </c>
    </row>
    <row r="135" spans="1:106" s="86" customFormat="1" ht="31.5" x14ac:dyDescent="0.25">
      <c r="A135" s="71" t="s">
        <v>234</v>
      </c>
      <c r="B135" s="16" t="s">
        <v>1</v>
      </c>
      <c r="C135" s="17" t="s">
        <v>235</v>
      </c>
      <c r="D135" s="18">
        <f t="shared" ref="D135:BR135" si="338">SUM(D136:D138)</f>
        <v>2356909</v>
      </c>
      <c r="E135" s="18">
        <f t="shared" si="338"/>
        <v>2354572</v>
      </c>
      <c r="F135" s="18">
        <f t="shared" si="338"/>
        <v>2304132</v>
      </c>
      <c r="G135" s="18">
        <f t="shared" si="338"/>
        <v>1460090</v>
      </c>
      <c r="H135" s="18">
        <f t="shared" si="338"/>
        <v>348709</v>
      </c>
      <c r="I135" s="18">
        <f t="shared" si="338"/>
        <v>20988</v>
      </c>
      <c r="J135" s="18">
        <f t="shared" si="338"/>
        <v>0</v>
      </c>
      <c r="K135" s="18">
        <f t="shared" si="338"/>
        <v>0</v>
      </c>
      <c r="L135" s="18">
        <f t="shared" si="338"/>
        <v>0</v>
      </c>
      <c r="M135" s="18">
        <f t="shared" si="338"/>
        <v>0</v>
      </c>
      <c r="N135" s="18">
        <f t="shared" si="338"/>
        <v>0</v>
      </c>
      <c r="O135" s="18">
        <f t="shared" si="338"/>
        <v>20988</v>
      </c>
      <c r="P135" s="18">
        <f t="shared" si="338"/>
        <v>0</v>
      </c>
      <c r="Q135" s="18">
        <f t="shared" si="338"/>
        <v>0</v>
      </c>
      <c r="R135" s="18">
        <f t="shared" si="338"/>
        <v>0</v>
      </c>
      <c r="S135" s="18">
        <f t="shared" si="338"/>
        <v>0</v>
      </c>
      <c r="T135" s="18">
        <f t="shared" si="338"/>
        <v>6091</v>
      </c>
      <c r="U135" s="18">
        <f t="shared" si="338"/>
        <v>0</v>
      </c>
      <c r="V135" s="18">
        <f t="shared" si="338"/>
        <v>0</v>
      </c>
      <c r="W135" s="18">
        <f t="shared" si="338"/>
        <v>0</v>
      </c>
      <c r="X135" s="18">
        <f t="shared" si="338"/>
        <v>0</v>
      </c>
      <c r="Y135" s="18">
        <f t="shared" si="338"/>
        <v>0</v>
      </c>
      <c r="Z135" s="18">
        <f t="shared" si="338"/>
        <v>0</v>
      </c>
      <c r="AA135" s="18">
        <f t="shared" si="338"/>
        <v>0</v>
      </c>
      <c r="AB135" s="18">
        <f t="shared" si="338"/>
        <v>0</v>
      </c>
      <c r="AC135" s="18">
        <f t="shared" si="338"/>
        <v>0</v>
      </c>
      <c r="AD135" s="18">
        <f t="shared" ref="AD135" si="339">SUM(AD136:AD138)</f>
        <v>0</v>
      </c>
      <c r="AE135" s="18">
        <f t="shared" si="338"/>
        <v>468254</v>
      </c>
      <c r="AF135" s="18">
        <f t="shared" si="338"/>
        <v>0</v>
      </c>
      <c r="AG135" s="18">
        <f t="shared" si="338"/>
        <v>0</v>
      </c>
      <c r="AH135" s="18">
        <f t="shared" si="338"/>
        <v>0</v>
      </c>
      <c r="AI135" s="18">
        <f t="shared" si="338"/>
        <v>12698</v>
      </c>
      <c r="AJ135" s="18">
        <f t="shared" si="338"/>
        <v>20960</v>
      </c>
      <c r="AK135" s="18">
        <f t="shared" si="338"/>
        <v>0</v>
      </c>
      <c r="AL135" s="18">
        <f t="shared" si="338"/>
        <v>0</v>
      </c>
      <c r="AM135" s="18">
        <f t="shared" si="338"/>
        <v>0</v>
      </c>
      <c r="AN135" s="18">
        <f t="shared" si="338"/>
        <v>128299</v>
      </c>
      <c r="AO135" s="18">
        <f t="shared" si="338"/>
        <v>0</v>
      </c>
      <c r="AP135" s="18">
        <f t="shared" si="338"/>
        <v>0</v>
      </c>
      <c r="AQ135" s="18"/>
      <c r="AR135" s="18">
        <f t="shared" si="338"/>
        <v>0</v>
      </c>
      <c r="AS135" s="18">
        <f t="shared" si="338"/>
        <v>0</v>
      </c>
      <c r="AT135" s="18">
        <f t="shared" si="338"/>
        <v>0</v>
      </c>
      <c r="AU135" s="18"/>
      <c r="AV135" s="18"/>
      <c r="AW135" s="18">
        <f t="shared" si="338"/>
        <v>0</v>
      </c>
      <c r="AX135" s="18">
        <f t="shared" si="338"/>
        <v>0</v>
      </c>
      <c r="AY135" s="18">
        <f t="shared" si="338"/>
        <v>0</v>
      </c>
      <c r="AZ135" s="18"/>
      <c r="BA135" s="18">
        <f t="shared" si="338"/>
        <v>306297</v>
      </c>
      <c r="BB135" s="18">
        <f t="shared" si="338"/>
        <v>50440</v>
      </c>
      <c r="BC135" s="18">
        <f t="shared" si="338"/>
        <v>0</v>
      </c>
      <c r="BD135" s="18">
        <f t="shared" si="338"/>
        <v>0</v>
      </c>
      <c r="BE135" s="18">
        <f t="shared" si="338"/>
        <v>0</v>
      </c>
      <c r="BF135" s="18">
        <f t="shared" si="338"/>
        <v>0</v>
      </c>
      <c r="BG135" s="18">
        <f t="shared" si="338"/>
        <v>0</v>
      </c>
      <c r="BH135" s="18">
        <f t="shared" si="338"/>
        <v>0</v>
      </c>
      <c r="BI135" s="18">
        <f t="shared" si="338"/>
        <v>0</v>
      </c>
      <c r="BJ135" s="18">
        <f t="shared" si="338"/>
        <v>0</v>
      </c>
      <c r="BK135" s="18">
        <f t="shared" ref="BK135" si="340">SUM(BK136:BK138)</f>
        <v>0</v>
      </c>
      <c r="BL135" s="18">
        <f t="shared" si="338"/>
        <v>0</v>
      </c>
      <c r="BM135" s="18">
        <f t="shared" si="338"/>
        <v>0</v>
      </c>
      <c r="BN135" s="18">
        <f t="shared" ref="BN135" si="341">SUM(BN136:BN138)</f>
        <v>0</v>
      </c>
      <c r="BO135" s="18">
        <f t="shared" si="338"/>
        <v>50440</v>
      </c>
      <c r="BP135" s="18">
        <f t="shared" si="338"/>
        <v>0</v>
      </c>
      <c r="BQ135" s="18">
        <f t="shared" si="338"/>
        <v>0</v>
      </c>
      <c r="BR135" s="18">
        <f t="shared" si="338"/>
        <v>50440</v>
      </c>
      <c r="BS135" s="18">
        <f t="shared" ref="BS135:DA135" si="342">SUM(BS136:BS138)</f>
        <v>0</v>
      </c>
      <c r="BT135" s="18">
        <f t="shared" si="342"/>
        <v>0</v>
      </c>
      <c r="BU135" s="18">
        <f t="shared" si="342"/>
        <v>0</v>
      </c>
      <c r="BV135" s="18">
        <f t="shared" si="342"/>
        <v>0</v>
      </c>
      <c r="BW135" s="18">
        <f t="shared" si="342"/>
        <v>0</v>
      </c>
      <c r="BX135" s="18">
        <f t="shared" si="342"/>
        <v>0</v>
      </c>
      <c r="BY135" s="18">
        <f t="shared" si="342"/>
        <v>0</v>
      </c>
      <c r="BZ135" s="18">
        <f t="shared" si="342"/>
        <v>0</v>
      </c>
      <c r="CA135" s="18">
        <f t="shared" si="342"/>
        <v>2337</v>
      </c>
      <c r="CB135" s="18">
        <f t="shared" si="342"/>
        <v>2337</v>
      </c>
      <c r="CC135" s="18">
        <f t="shared" si="342"/>
        <v>2337</v>
      </c>
      <c r="CD135" s="18">
        <f t="shared" si="342"/>
        <v>0</v>
      </c>
      <c r="CE135" s="18">
        <f t="shared" si="342"/>
        <v>2337</v>
      </c>
      <c r="CF135" s="18">
        <f t="shared" si="342"/>
        <v>0</v>
      </c>
      <c r="CG135" s="18">
        <f t="shared" si="342"/>
        <v>0</v>
      </c>
      <c r="CH135" s="18">
        <f t="shared" ref="CH135:CI135" si="343">SUM(CH136:CH138)</f>
        <v>0</v>
      </c>
      <c r="CI135" s="18">
        <f t="shared" si="343"/>
        <v>0</v>
      </c>
      <c r="CJ135" s="18">
        <f t="shared" si="342"/>
        <v>0</v>
      </c>
      <c r="CK135" s="18">
        <f t="shared" ref="CK135" si="344">SUM(CK136:CK138)</f>
        <v>0</v>
      </c>
      <c r="CL135" s="18">
        <f t="shared" si="342"/>
        <v>0</v>
      </c>
      <c r="CM135" s="18">
        <f t="shared" si="342"/>
        <v>0</v>
      </c>
      <c r="CN135" s="18">
        <f t="shared" ref="CN135" si="345">SUM(CN136:CN138)</f>
        <v>0</v>
      </c>
      <c r="CO135" s="18">
        <f t="shared" si="342"/>
        <v>0</v>
      </c>
      <c r="CP135" s="18"/>
      <c r="CQ135" s="18"/>
      <c r="CR135" s="18"/>
      <c r="CS135" s="18"/>
      <c r="CT135" s="18">
        <f t="shared" si="342"/>
        <v>0</v>
      </c>
      <c r="CU135" s="18"/>
      <c r="CV135" s="18"/>
      <c r="CW135" s="18"/>
      <c r="CX135" s="18">
        <f t="shared" si="342"/>
        <v>0</v>
      </c>
      <c r="CY135" s="18">
        <f t="shared" si="342"/>
        <v>0</v>
      </c>
      <c r="CZ135" s="18">
        <f t="shared" si="342"/>
        <v>0</v>
      </c>
      <c r="DA135" s="46">
        <f t="shared" si="342"/>
        <v>0</v>
      </c>
      <c r="DB135" s="85"/>
    </row>
    <row r="136" spans="1:106" ht="31.5" x14ac:dyDescent="0.25">
      <c r="A136" s="72" t="s">
        <v>1</v>
      </c>
      <c r="B136" s="21" t="s">
        <v>82</v>
      </c>
      <c r="C136" s="22" t="s">
        <v>236</v>
      </c>
      <c r="D136" s="18">
        <f>SUM(E136+CA136+CX136)</f>
        <v>87673</v>
      </c>
      <c r="E136" s="19">
        <f>SUM(F136+BB136)</f>
        <v>87673</v>
      </c>
      <c r="F136" s="19">
        <f t="shared" ref="F136:F138" si="346">SUM(G136+H136+I136+P136+S136+T136+U136+AE136)</f>
        <v>87673</v>
      </c>
      <c r="G136" s="23">
        <v>0</v>
      </c>
      <c r="H136" s="23">
        <v>0</v>
      </c>
      <c r="I136" s="19">
        <f t="shared" si="120"/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f t="shared" si="121"/>
        <v>0</v>
      </c>
      <c r="Q136" s="19">
        <v>0</v>
      </c>
      <c r="R136" s="19">
        <v>0</v>
      </c>
      <c r="S136" s="19">
        <v>0</v>
      </c>
      <c r="T136" s="19">
        <v>0</v>
      </c>
      <c r="U136" s="19">
        <f t="shared" ref="U136:U138" si="347">SUM(V136:AC136)</f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f>SUM(AF136:BA136)</f>
        <v>87673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23">
        <v>6003</v>
      </c>
      <c r="AO136" s="19">
        <v>0</v>
      </c>
      <c r="AP136" s="19">
        <v>0</v>
      </c>
      <c r="AQ136" s="19"/>
      <c r="AR136" s="19">
        <v>0</v>
      </c>
      <c r="AS136" s="19">
        <v>0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0</v>
      </c>
      <c r="AZ136" s="19">
        <v>0</v>
      </c>
      <c r="BA136" s="23">
        <v>81670</v>
      </c>
      <c r="BB136" s="19">
        <f>SUM(BC136+BG136+BJ136+BL136+BO136)</f>
        <v>0</v>
      </c>
      <c r="BC136" s="19">
        <f>SUM(BD136:BF136)</f>
        <v>0</v>
      </c>
      <c r="BD136" s="19">
        <v>0</v>
      </c>
      <c r="BE136" s="19">
        <v>0</v>
      </c>
      <c r="BF136" s="19">
        <v>0</v>
      </c>
      <c r="BG136" s="19">
        <f>SUM(BI136:BI136)</f>
        <v>0</v>
      </c>
      <c r="BH136" s="19">
        <v>0</v>
      </c>
      <c r="BI136" s="19">
        <v>0</v>
      </c>
      <c r="BJ136" s="19">
        <v>0</v>
      </c>
      <c r="BK136" s="19">
        <v>0</v>
      </c>
      <c r="BL136" s="19">
        <f t="shared" si="122"/>
        <v>0</v>
      </c>
      <c r="BM136" s="19">
        <v>0</v>
      </c>
      <c r="BN136" s="19">
        <v>0</v>
      </c>
      <c r="BO136" s="19">
        <f>SUM(BP136:BZ136)</f>
        <v>0</v>
      </c>
      <c r="BP136" s="19">
        <v>0</v>
      </c>
      <c r="BQ136" s="19">
        <v>0</v>
      </c>
      <c r="BR136" s="19">
        <v>0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19">
        <v>0</v>
      </c>
      <c r="BY136" s="19">
        <v>0</v>
      </c>
      <c r="BZ136" s="19">
        <v>0</v>
      </c>
      <c r="CA136" s="19">
        <f>SUM(CB136+CT136)</f>
        <v>0</v>
      </c>
      <c r="CB136" s="19">
        <f>SUM(CC136+CF136+CL136)</f>
        <v>0</v>
      </c>
      <c r="CC136" s="19">
        <f t="shared" si="123"/>
        <v>0</v>
      </c>
      <c r="CD136" s="19">
        <v>0</v>
      </c>
      <c r="CE136" s="19">
        <v>0</v>
      </c>
      <c r="CF136" s="19">
        <f>SUM(CG136:CK136)</f>
        <v>0</v>
      </c>
      <c r="CG136" s="19">
        <v>0</v>
      </c>
      <c r="CH136" s="19">
        <v>0</v>
      </c>
      <c r="CI136" s="19">
        <v>0</v>
      </c>
      <c r="CJ136" s="19">
        <v>0</v>
      </c>
      <c r="CK136" s="19">
        <v>0</v>
      </c>
      <c r="CL136" s="19">
        <f>SUM(CM136:CQ136)</f>
        <v>0</v>
      </c>
      <c r="CM136" s="19">
        <v>0</v>
      </c>
      <c r="CN136" s="19">
        <v>0</v>
      </c>
      <c r="CO136" s="19">
        <v>0</v>
      </c>
      <c r="CP136" s="19"/>
      <c r="CQ136" s="19"/>
      <c r="CR136" s="19"/>
      <c r="CS136" s="19"/>
      <c r="CT136" s="19">
        <v>0</v>
      </c>
      <c r="CU136" s="19"/>
      <c r="CV136" s="19"/>
      <c r="CW136" s="19"/>
      <c r="CX136" s="19">
        <f t="shared" si="124"/>
        <v>0</v>
      </c>
      <c r="CY136" s="19">
        <f t="shared" si="125"/>
        <v>0</v>
      </c>
      <c r="CZ136" s="19">
        <v>0</v>
      </c>
      <c r="DA136" s="20">
        <v>0</v>
      </c>
    </row>
    <row r="137" spans="1:106" ht="15.75" x14ac:dyDescent="0.25">
      <c r="A137" s="72" t="s">
        <v>1</v>
      </c>
      <c r="B137" s="21" t="s">
        <v>86</v>
      </c>
      <c r="C137" s="22" t="s">
        <v>237</v>
      </c>
      <c r="D137" s="18">
        <f>SUM(E137+CA137+CX137)</f>
        <v>1013253</v>
      </c>
      <c r="E137" s="19">
        <f>SUM(F137+BB137)</f>
        <v>1010916</v>
      </c>
      <c r="F137" s="19">
        <f t="shared" si="346"/>
        <v>1010916</v>
      </c>
      <c r="G137" s="23">
        <f>629040+144155</f>
        <v>773195</v>
      </c>
      <c r="H137" s="23">
        <f>143987+32997</f>
        <v>176984</v>
      </c>
      <c r="I137" s="19">
        <f>SUM(J137:O137)</f>
        <v>20988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20988</v>
      </c>
      <c r="P137" s="19">
        <f>SUM(Q137:R137)</f>
        <v>0</v>
      </c>
      <c r="Q137" s="19"/>
      <c r="R137" s="19">
        <v>0</v>
      </c>
      <c r="S137" s="19">
        <v>0</v>
      </c>
      <c r="T137" s="19">
        <v>6091</v>
      </c>
      <c r="U137" s="19">
        <f t="shared" si="347"/>
        <v>0</v>
      </c>
      <c r="V137" s="19">
        <v>0</v>
      </c>
      <c r="W137" s="19">
        <v>0</v>
      </c>
      <c r="X137" s="19">
        <v>0</v>
      </c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f>SUM(AF137:BA137)</f>
        <v>33658</v>
      </c>
      <c r="AF137" s="19">
        <v>0</v>
      </c>
      <c r="AG137" s="19">
        <v>0</v>
      </c>
      <c r="AH137" s="19">
        <v>0</v>
      </c>
      <c r="AI137" s="19">
        <v>12698</v>
      </c>
      <c r="AJ137" s="19">
        <v>20960</v>
      </c>
      <c r="AK137" s="19">
        <v>0</v>
      </c>
      <c r="AL137" s="19">
        <v>0</v>
      </c>
      <c r="AM137" s="19">
        <v>0</v>
      </c>
      <c r="AN137" s="23">
        <v>0</v>
      </c>
      <c r="AO137" s="19">
        <v>0</v>
      </c>
      <c r="AP137" s="19">
        <v>0</v>
      </c>
      <c r="AQ137" s="19"/>
      <c r="AR137" s="19">
        <v>0</v>
      </c>
      <c r="AS137" s="19">
        <v>0</v>
      </c>
      <c r="AT137" s="19">
        <v>0</v>
      </c>
      <c r="AU137" s="19">
        <v>0</v>
      </c>
      <c r="AV137" s="19">
        <v>0</v>
      </c>
      <c r="AW137" s="19">
        <v>0</v>
      </c>
      <c r="AX137" s="19">
        <v>0</v>
      </c>
      <c r="AY137" s="19">
        <v>0</v>
      </c>
      <c r="AZ137" s="19">
        <v>0</v>
      </c>
      <c r="BA137" s="23">
        <v>0</v>
      </c>
      <c r="BB137" s="19">
        <f>SUM(BC137+BG137+BJ137+BL137+BO137)</f>
        <v>0</v>
      </c>
      <c r="BC137" s="19">
        <f>SUM(BD137:BF137)</f>
        <v>0</v>
      </c>
      <c r="BD137" s="19">
        <v>0</v>
      </c>
      <c r="BE137" s="19">
        <v>0</v>
      </c>
      <c r="BF137" s="19">
        <v>0</v>
      </c>
      <c r="BG137" s="19">
        <f>SUM(BI137:BI137)</f>
        <v>0</v>
      </c>
      <c r="BH137" s="19">
        <v>0</v>
      </c>
      <c r="BI137" s="19">
        <v>0</v>
      </c>
      <c r="BJ137" s="19">
        <v>0</v>
      </c>
      <c r="BK137" s="19">
        <v>0</v>
      </c>
      <c r="BL137" s="19">
        <f>SUM(BM137)</f>
        <v>0</v>
      </c>
      <c r="BM137" s="19">
        <v>0</v>
      </c>
      <c r="BN137" s="19">
        <v>0</v>
      </c>
      <c r="BO137" s="19">
        <f>SUM(BP137:BZ137)</f>
        <v>0</v>
      </c>
      <c r="BP137" s="19">
        <v>0</v>
      </c>
      <c r="BQ137" s="19">
        <v>0</v>
      </c>
      <c r="BR137" s="19">
        <v>0</v>
      </c>
      <c r="BS137" s="19">
        <v>0</v>
      </c>
      <c r="BT137" s="19">
        <v>0</v>
      </c>
      <c r="BU137" s="19">
        <v>0</v>
      </c>
      <c r="BV137" s="19">
        <v>0</v>
      </c>
      <c r="BW137" s="19">
        <v>0</v>
      </c>
      <c r="BX137" s="19">
        <v>0</v>
      </c>
      <c r="BY137" s="19">
        <v>0</v>
      </c>
      <c r="BZ137" s="19">
        <v>0</v>
      </c>
      <c r="CA137" s="19">
        <f>SUM(CB137+CT137)</f>
        <v>2337</v>
      </c>
      <c r="CB137" s="19">
        <f>SUM(CC137+CF137+CL137)</f>
        <v>2337</v>
      </c>
      <c r="CC137" s="19">
        <f>SUM(CD137:CE137)</f>
        <v>2337</v>
      </c>
      <c r="CD137" s="19">
        <v>0</v>
      </c>
      <c r="CE137" s="19">
        <v>2337</v>
      </c>
      <c r="CF137" s="19">
        <f>SUM(CG137:CK137)</f>
        <v>0</v>
      </c>
      <c r="CG137" s="19">
        <v>0</v>
      </c>
      <c r="CH137" s="19">
        <v>0</v>
      </c>
      <c r="CI137" s="19">
        <v>0</v>
      </c>
      <c r="CJ137" s="19">
        <v>0</v>
      </c>
      <c r="CK137" s="19">
        <v>0</v>
      </c>
      <c r="CL137" s="19">
        <f>SUM(CM137:CQ137)</f>
        <v>0</v>
      </c>
      <c r="CM137" s="19">
        <v>0</v>
      </c>
      <c r="CN137" s="19">
        <v>0</v>
      </c>
      <c r="CO137" s="19">
        <v>0</v>
      </c>
      <c r="CP137" s="19"/>
      <c r="CQ137" s="19"/>
      <c r="CR137" s="19"/>
      <c r="CS137" s="19"/>
      <c r="CT137" s="19">
        <v>0</v>
      </c>
      <c r="CU137" s="19"/>
      <c r="CV137" s="19"/>
      <c r="CW137" s="19"/>
      <c r="CX137" s="19">
        <f>SUM(CY137)</f>
        <v>0</v>
      </c>
      <c r="CY137" s="19">
        <f>SUM(CZ137:DA137)</f>
        <v>0</v>
      </c>
      <c r="CZ137" s="19">
        <v>0</v>
      </c>
      <c r="DA137" s="20">
        <v>0</v>
      </c>
    </row>
    <row r="138" spans="1:106" ht="15.75" x14ac:dyDescent="0.25">
      <c r="A138" s="72" t="s">
        <v>1</v>
      </c>
      <c r="B138" s="21" t="s">
        <v>86</v>
      </c>
      <c r="C138" s="22" t="s">
        <v>238</v>
      </c>
      <c r="D138" s="18">
        <f>SUM(E138+CA138+CX138)</f>
        <v>1255983</v>
      </c>
      <c r="E138" s="19">
        <f>SUM(F138+BB138)</f>
        <v>1255983</v>
      </c>
      <c r="F138" s="19">
        <f t="shared" si="346"/>
        <v>1205543</v>
      </c>
      <c r="G138" s="23">
        <f>558830+128065</f>
        <v>686895</v>
      </c>
      <c r="H138" s="23">
        <f>139708+32017</f>
        <v>171725</v>
      </c>
      <c r="I138" s="19">
        <f t="shared" si="120"/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f t="shared" si="121"/>
        <v>0</v>
      </c>
      <c r="Q138" s="19">
        <v>0</v>
      </c>
      <c r="R138" s="19">
        <v>0</v>
      </c>
      <c r="S138" s="19">
        <v>0</v>
      </c>
      <c r="T138" s="19">
        <v>0</v>
      </c>
      <c r="U138" s="19">
        <f t="shared" si="347"/>
        <v>0</v>
      </c>
      <c r="V138" s="19">
        <v>0</v>
      </c>
      <c r="W138" s="19">
        <v>0</v>
      </c>
      <c r="X138" s="19">
        <v>0</v>
      </c>
      <c r="Y138" s="19">
        <v>0</v>
      </c>
      <c r="Z138" s="19">
        <v>0</v>
      </c>
      <c r="AA138" s="19">
        <v>0</v>
      </c>
      <c r="AB138" s="19">
        <v>0</v>
      </c>
      <c r="AC138" s="19">
        <v>0</v>
      </c>
      <c r="AD138" s="19">
        <v>0</v>
      </c>
      <c r="AE138" s="19">
        <f>SUM(AF138:BA138)</f>
        <v>346923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23">
        <v>122296</v>
      </c>
      <c r="AO138" s="19">
        <v>0</v>
      </c>
      <c r="AP138" s="19">
        <v>0</v>
      </c>
      <c r="AQ138" s="19"/>
      <c r="AR138" s="19">
        <v>0</v>
      </c>
      <c r="AS138" s="19">
        <v>0</v>
      </c>
      <c r="AT138" s="19">
        <v>0</v>
      </c>
      <c r="AU138" s="19">
        <v>0</v>
      </c>
      <c r="AV138" s="19">
        <v>0</v>
      </c>
      <c r="AW138" s="19">
        <v>0</v>
      </c>
      <c r="AX138" s="19">
        <v>0</v>
      </c>
      <c r="AY138" s="19">
        <v>0</v>
      </c>
      <c r="AZ138" s="19">
        <v>0</v>
      </c>
      <c r="BA138" s="23">
        <v>224627</v>
      </c>
      <c r="BB138" s="19">
        <f>SUM(BC138+BG138+BJ138+BL138+BO138)</f>
        <v>50440</v>
      </c>
      <c r="BC138" s="19">
        <f>SUM(BD138:BF138)</f>
        <v>0</v>
      </c>
      <c r="BD138" s="19">
        <v>0</v>
      </c>
      <c r="BE138" s="19">
        <v>0</v>
      </c>
      <c r="BF138" s="19">
        <v>0</v>
      </c>
      <c r="BG138" s="19">
        <f>SUM(BI138:BI138)</f>
        <v>0</v>
      </c>
      <c r="BH138" s="19">
        <v>0</v>
      </c>
      <c r="BI138" s="19">
        <v>0</v>
      </c>
      <c r="BJ138" s="19">
        <v>0</v>
      </c>
      <c r="BK138" s="19">
        <v>0</v>
      </c>
      <c r="BL138" s="19">
        <f t="shared" si="122"/>
        <v>0</v>
      </c>
      <c r="BM138" s="19">
        <v>0</v>
      </c>
      <c r="BN138" s="19">
        <v>0</v>
      </c>
      <c r="BO138" s="19">
        <f>SUM(BP138:BZ138)</f>
        <v>50440</v>
      </c>
      <c r="BP138" s="19">
        <v>0</v>
      </c>
      <c r="BQ138" s="19">
        <v>0</v>
      </c>
      <c r="BR138" s="19">
        <v>50440</v>
      </c>
      <c r="BS138" s="19">
        <v>0</v>
      </c>
      <c r="BT138" s="19">
        <v>0</v>
      </c>
      <c r="BU138" s="19">
        <v>0</v>
      </c>
      <c r="BV138" s="19">
        <v>0</v>
      </c>
      <c r="BW138" s="19">
        <v>0</v>
      </c>
      <c r="BX138" s="19">
        <v>0</v>
      </c>
      <c r="BY138" s="19">
        <v>0</v>
      </c>
      <c r="BZ138" s="19">
        <v>0</v>
      </c>
      <c r="CA138" s="19">
        <f>SUM(CB138+CT138)</f>
        <v>0</v>
      </c>
      <c r="CB138" s="19">
        <f>SUM(CC138+CF138+CL138)</f>
        <v>0</v>
      </c>
      <c r="CC138" s="19">
        <f t="shared" si="123"/>
        <v>0</v>
      </c>
      <c r="CD138" s="19">
        <v>0</v>
      </c>
      <c r="CE138" s="19">
        <v>0</v>
      </c>
      <c r="CF138" s="19">
        <f>SUM(CG138:CK138)</f>
        <v>0</v>
      </c>
      <c r="CG138" s="19">
        <v>0</v>
      </c>
      <c r="CH138" s="19">
        <v>0</v>
      </c>
      <c r="CI138" s="19">
        <v>0</v>
      </c>
      <c r="CJ138" s="19">
        <v>0</v>
      </c>
      <c r="CK138" s="19">
        <v>0</v>
      </c>
      <c r="CL138" s="19">
        <f>SUM(CM138:CQ138)</f>
        <v>0</v>
      </c>
      <c r="CM138" s="19">
        <v>0</v>
      </c>
      <c r="CN138" s="19">
        <v>0</v>
      </c>
      <c r="CO138" s="19">
        <v>0</v>
      </c>
      <c r="CP138" s="19"/>
      <c r="CQ138" s="19"/>
      <c r="CR138" s="19"/>
      <c r="CS138" s="19"/>
      <c r="CT138" s="19">
        <v>0</v>
      </c>
      <c r="CU138" s="19"/>
      <c r="CV138" s="19"/>
      <c r="CW138" s="19"/>
      <c r="CX138" s="19">
        <f t="shared" si="124"/>
        <v>0</v>
      </c>
      <c r="CY138" s="19">
        <f t="shared" si="125"/>
        <v>0</v>
      </c>
      <c r="CZ138" s="19">
        <v>0</v>
      </c>
      <c r="DA138" s="20">
        <v>0</v>
      </c>
    </row>
    <row r="139" spans="1:106" s="86" customFormat="1" ht="31.5" x14ac:dyDescent="0.25">
      <c r="A139" s="73" t="s">
        <v>239</v>
      </c>
      <c r="B139" s="25" t="s">
        <v>1</v>
      </c>
      <c r="C139" s="26" t="s">
        <v>240</v>
      </c>
      <c r="D139" s="27">
        <f>SUM(D140+D144+D147)</f>
        <v>32934495</v>
      </c>
      <c r="E139" s="27">
        <f t="shared" ref="E139:BU139" si="348">SUM(E140+E144+E147)</f>
        <v>31380301</v>
      </c>
      <c r="F139" s="27">
        <f t="shared" si="348"/>
        <v>30872797</v>
      </c>
      <c r="G139" s="27">
        <f t="shared" si="348"/>
        <v>21707689</v>
      </c>
      <c r="H139" s="27">
        <f t="shared" si="348"/>
        <v>5114150</v>
      </c>
      <c r="I139" s="27">
        <f t="shared" si="348"/>
        <v>1109083</v>
      </c>
      <c r="J139" s="27">
        <f t="shared" si="348"/>
        <v>20116</v>
      </c>
      <c r="K139" s="27">
        <f t="shared" si="348"/>
        <v>150000</v>
      </c>
      <c r="L139" s="27">
        <f t="shared" si="348"/>
        <v>0</v>
      </c>
      <c r="M139" s="27">
        <f t="shared" si="348"/>
        <v>0</v>
      </c>
      <c r="N139" s="27">
        <f t="shared" si="348"/>
        <v>602243</v>
      </c>
      <c r="O139" s="27">
        <f t="shared" si="348"/>
        <v>336724</v>
      </c>
      <c r="P139" s="27">
        <f t="shared" si="348"/>
        <v>0</v>
      </c>
      <c r="Q139" s="27">
        <f t="shared" si="348"/>
        <v>0</v>
      </c>
      <c r="R139" s="27">
        <f t="shared" si="348"/>
        <v>0</v>
      </c>
      <c r="S139" s="27">
        <f t="shared" si="348"/>
        <v>0</v>
      </c>
      <c r="T139" s="27">
        <f t="shared" si="348"/>
        <v>74161</v>
      </c>
      <c r="U139" s="27">
        <f t="shared" si="348"/>
        <v>584393</v>
      </c>
      <c r="V139" s="27">
        <f t="shared" si="348"/>
        <v>10773</v>
      </c>
      <c r="W139" s="27">
        <f t="shared" si="348"/>
        <v>349058</v>
      </c>
      <c r="X139" s="27">
        <f t="shared" si="348"/>
        <v>163240</v>
      </c>
      <c r="Y139" s="27">
        <f t="shared" si="348"/>
        <v>49464</v>
      </c>
      <c r="Z139" s="27">
        <f t="shared" si="348"/>
        <v>7960</v>
      </c>
      <c r="AA139" s="27">
        <f t="shared" si="348"/>
        <v>0</v>
      </c>
      <c r="AB139" s="27">
        <f t="shared" si="348"/>
        <v>0</v>
      </c>
      <c r="AC139" s="27">
        <f t="shared" si="348"/>
        <v>3898</v>
      </c>
      <c r="AD139" s="27">
        <f t="shared" ref="AD139" si="349">SUM(AD140+AD144+AD147)</f>
        <v>50918</v>
      </c>
      <c r="AE139" s="27">
        <f t="shared" si="348"/>
        <v>2232403</v>
      </c>
      <c r="AF139" s="27">
        <f t="shared" si="348"/>
        <v>0</v>
      </c>
      <c r="AG139" s="27">
        <f t="shared" si="348"/>
        <v>0</v>
      </c>
      <c r="AH139" s="27">
        <f t="shared" si="348"/>
        <v>3666</v>
      </c>
      <c r="AI139" s="27">
        <f t="shared" si="348"/>
        <v>5070</v>
      </c>
      <c r="AJ139" s="27">
        <f t="shared" si="348"/>
        <v>0</v>
      </c>
      <c r="AK139" s="27">
        <f t="shared" si="348"/>
        <v>0</v>
      </c>
      <c r="AL139" s="27">
        <f t="shared" si="348"/>
        <v>0</v>
      </c>
      <c r="AM139" s="27">
        <f t="shared" si="348"/>
        <v>749</v>
      </c>
      <c r="AN139" s="27">
        <f t="shared" si="348"/>
        <v>7758</v>
      </c>
      <c r="AO139" s="27">
        <f t="shared" si="348"/>
        <v>0</v>
      </c>
      <c r="AP139" s="27">
        <f t="shared" si="348"/>
        <v>0</v>
      </c>
      <c r="AQ139" s="27"/>
      <c r="AR139" s="27">
        <f t="shared" si="348"/>
        <v>0</v>
      </c>
      <c r="AS139" s="27">
        <f t="shared" si="348"/>
        <v>246412</v>
      </c>
      <c r="AT139" s="27">
        <f t="shared" si="348"/>
        <v>38000</v>
      </c>
      <c r="AU139" s="27"/>
      <c r="AV139" s="27"/>
      <c r="AW139" s="27">
        <f t="shared" si="348"/>
        <v>0</v>
      </c>
      <c r="AX139" s="27">
        <f t="shared" si="348"/>
        <v>0</v>
      </c>
      <c r="AY139" s="27">
        <f t="shared" si="348"/>
        <v>91661</v>
      </c>
      <c r="AZ139" s="27"/>
      <c r="BA139" s="27">
        <f t="shared" si="348"/>
        <v>1839087</v>
      </c>
      <c r="BB139" s="27">
        <f t="shared" si="348"/>
        <v>507504</v>
      </c>
      <c r="BC139" s="27">
        <f t="shared" si="348"/>
        <v>0</v>
      </c>
      <c r="BD139" s="27">
        <f t="shared" si="348"/>
        <v>0</v>
      </c>
      <c r="BE139" s="27">
        <f t="shared" si="348"/>
        <v>0</v>
      </c>
      <c r="BF139" s="27">
        <f t="shared" si="348"/>
        <v>0</v>
      </c>
      <c r="BG139" s="27">
        <f t="shared" si="348"/>
        <v>0</v>
      </c>
      <c r="BH139" s="27">
        <f t="shared" si="348"/>
        <v>0</v>
      </c>
      <c r="BI139" s="27">
        <f t="shared" si="348"/>
        <v>0</v>
      </c>
      <c r="BJ139" s="27">
        <f t="shared" si="348"/>
        <v>0</v>
      </c>
      <c r="BK139" s="27">
        <f t="shared" ref="BK139" si="350">SUM(BK140+BK144+BK147)</f>
        <v>0</v>
      </c>
      <c r="BL139" s="27">
        <f t="shared" si="348"/>
        <v>0</v>
      </c>
      <c r="BM139" s="27">
        <f t="shared" si="348"/>
        <v>0</v>
      </c>
      <c r="BN139" s="27">
        <f t="shared" ref="BN139" si="351">SUM(BN140+BN144+BN147)</f>
        <v>0</v>
      </c>
      <c r="BO139" s="27">
        <f t="shared" si="348"/>
        <v>507504</v>
      </c>
      <c r="BP139" s="27">
        <f t="shared" si="348"/>
        <v>0</v>
      </c>
      <c r="BQ139" s="27">
        <f t="shared" si="348"/>
        <v>0</v>
      </c>
      <c r="BR139" s="27">
        <f t="shared" si="348"/>
        <v>507504</v>
      </c>
      <c r="BS139" s="27">
        <f t="shared" si="348"/>
        <v>0</v>
      </c>
      <c r="BT139" s="27">
        <f t="shared" si="348"/>
        <v>0</v>
      </c>
      <c r="BU139" s="27">
        <f t="shared" si="348"/>
        <v>0</v>
      </c>
      <c r="BV139" s="27">
        <f t="shared" ref="BV139:DA139" si="352">SUM(BV140+BV144+BV147)</f>
        <v>0</v>
      </c>
      <c r="BW139" s="27">
        <f t="shared" si="352"/>
        <v>0</v>
      </c>
      <c r="BX139" s="27">
        <f t="shared" si="352"/>
        <v>0</v>
      </c>
      <c r="BY139" s="27">
        <f t="shared" si="352"/>
        <v>0</v>
      </c>
      <c r="BZ139" s="27">
        <f t="shared" si="352"/>
        <v>0</v>
      </c>
      <c r="CA139" s="27">
        <f t="shared" si="352"/>
        <v>1554194</v>
      </c>
      <c r="CB139" s="27">
        <f t="shared" si="352"/>
        <v>1554194</v>
      </c>
      <c r="CC139" s="27">
        <f t="shared" si="352"/>
        <v>1554194</v>
      </c>
      <c r="CD139" s="27">
        <f t="shared" si="352"/>
        <v>0</v>
      </c>
      <c r="CE139" s="27">
        <f t="shared" si="352"/>
        <v>1554194</v>
      </c>
      <c r="CF139" s="27">
        <f t="shared" si="352"/>
        <v>0</v>
      </c>
      <c r="CG139" s="27">
        <f t="shared" si="352"/>
        <v>0</v>
      </c>
      <c r="CH139" s="27">
        <f t="shared" ref="CH139:CI139" si="353">SUM(CH140+CH144+CH147)</f>
        <v>0</v>
      </c>
      <c r="CI139" s="27">
        <f t="shared" si="353"/>
        <v>0</v>
      </c>
      <c r="CJ139" s="27">
        <f t="shared" si="352"/>
        <v>0</v>
      </c>
      <c r="CK139" s="27">
        <f t="shared" ref="CK139" si="354">SUM(CK140+CK144+CK147)</f>
        <v>0</v>
      </c>
      <c r="CL139" s="27">
        <f t="shared" si="352"/>
        <v>0</v>
      </c>
      <c r="CM139" s="27">
        <f t="shared" si="352"/>
        <v>0</v>
      </c>
      <c r="CN139" s="27">
        <f t="shared" ref="CN139" si="355">SUM(CN140+CN144+CN147)</f>
        <v>0</v>
      </c>
      <c r="CO139" s="27">
        <f t="shared" si="352"/>
        <v>0</v>
      </c>
      <c r="CP139" s="27"/>
      <c r="CQ139" s="27"/>
      <c r="CR139" s="27"/>
      <c r="CS139" s="27"/>
      <c r="CT139" s="27">
        <f t="shared" si="352"/>
        <v>0</v>
      </c>
      <c r="CU139" s="27"/>
      <c r="CV139" s="27"/>
      <c r="CW139" s="27"/>
      <c r="CX139" s="27">
        <f t="shared" si="352"/>
        <v>0</v>
      </c>
      <c r="CY139" s="27">
        <f t="shared" si="352"/>
        <v>0</v>
      </c>
      <c r="CZ139" s="27">
        <f t="shared" si="352"/>
        <v>0</v>
      </c>
      <c r="DA139" s="55">
        <f t="shared" si="352"/>
        <v>0</v>
      </c>
      <c r="DB139" s="85"/>
    </row>
    <row r="140" spans="1:106" s="86" customFormat="1" ht="31.5" x14ac:dyDescent="0.25">
      <c r="A140" s="71" t="s">
        <v>241</v>
      </c>
      <c r="B140" s="16" t="s">
        <v>1</v>
      </c>
      <c r="C140" s="17" t="s">
        <v>242</v>
      </c>
      <c r="D140" s="18">
        <f>SUM(D141:D143)</f>
        <v>17917245</v>
      </c>
      <c r="E140" s="18">
        <f t="shared" ref="E140:BU140" si="356">SUM(E141:E143)</f>
        <v>16917949</v>
      </c>
      <c r="F140" s="18">
        <f t="shared" si="356"/>
        <v>16917949</v>
      </c>
      <c r="G140" s="18">
        <f t="shared" si="356"/>
        <v>13124783</v>
      </c>
      <c r="H140" s="18">
        <f t="shared" si="356"/>
        <v>3088788</v>
      </c>
      <c r="I140" s="18">
        <f t="shared" si="356"/>
        <v>66716</v>
      </c>
      <c r="J140" s="18">
        <f t="shared" si="356"/>
        <v>0</v>
      </c>
      <c r="K140" s="18">
        <f t="shared" si="356"/>
        <v>0</v>
      </c>
      <c r="L140" s="18">
        <f t="shared" si="356"/>
        <v>0</v>
      </c>
      <c r="M140" s="18">
        <f t="shared" si="356"/>
        <v>0</v>
      </c>
      <c r="N140" s="18">
        <f t="shared" si="356"/>
        <v>50021</v>
      </c>
      <c r="O140" s="18">
        <f t="shared" si="356"/>
        <v>16695</v>
      </c>
      <c r="P140" s="18">
        <f t="shared" si="356"/>
        <v>0</v>
      </c>
      <c r="Q140" s="18">
        <f t="shared" si="356"/>
        <v>0</v>
      </c>
      <c r="R140" s="18">
        <f t="shared" si="356"/>
        <v>0</v>
      </c>
      <c r="S140" s="18">
        <f t="shared" si="356"/>
        <v>0</v>
      </c>
      <c r="T140" s="18">
        <f t="shared" si="356"/>
        <v>32125</v>
      </c>
      <c r="U140" s="18">
        <f t="shared" si="356"/>
        <v>325567</v>
      </c>
      <c r="V140" s="18">
        <f t="shared" si="356"/>
        <v>0</v>
      </c>
      <c r="W140" s="18">
        <f t="shared" si="356"/>
        <v>196022</v>
      </c>
      <c r="X140" s="18">
        <f t="shared" si="356"/>
        <v>93161</v>
      </c>
      <c r="Y140" s="18">
        <f t="shared" si="356"/>
        <v>24526</v>
      </c>
      <c r="Z140" s="18">
        <f t="shared" si="356"/>
        <v>7960</v>
      </c>
      <c r="AA140" s="18">
        <f t="shared" si="356"/>
        <v>0</v>
      </c>
      <c r="AB140" s="18">
        <f t="shared" si="356"/>
        <v>0</v>
      </c>
      <c r="AC140" s="18">
        <f t="shared" si="356"/>
        <v>3898</v>
      </c>
      <c r="AD140" s="18">
        <f t="shared" ref="AD140" si="357">SUM(AD141:AD143)</f>
        <v>0</v>
      </c>
      <c r="AE140" s="18">
        <f t="shared" si="356"/>
        <v>279970</v>
      </c>
      <c r="AF140" s="18">
        <f t="shared" si="356"/>
        <v>0</v>
      </c>
      <c r="AG140" s="18">
        <f t="shared" si="356"/>
        <v>0</v>
      </c>
      <c r="AH140" s="18">
        <f t="shared" si="356"/>
        <v>3095</v>
      </c>
      <c r="AI140" s="18">
        <f t="shared" si="356"/>
        <v>3636</v>
      </c>
      <c r="AJ140" s="18">
        <f t="shared" si="356"/>
        <v>0</v>
      </c>
      <c r="AK140" s="18">
        <f t="shared" si="356"/>
        <v>0</v>
      </c>
      <c r="AL140" s="18">
        <f t="shared" si="356"/>
        <v>0</v>
      </c>
      <c r="AM140" s="18">
        <f t="shared" si="356"/>
        <v>0</v>
      </c>
      <c r="AN140" s="18">
        <f t="shared" si="356"/>
        <v>3000</v>
      </c>
      <c r="AO140" s="18">
        <f t="shared" si="356"/>
        <v>0</v>
      </c>
      <c r="AP140" s="18">
        <f t="shared" si="356"/>
        <v>0</v>
      </c>
      <c r="AQ140" s="18"/>
      <c r="AR140" s="18">
        <f t="shared" si="356"/>
        <v>0</v>
      </c>
      <c r="AS140" s="18">
        <f t="shared" si="356"/>
        <v>178578</v>
      </c>
      <c r="AT140" s="18">
        <f t="shared" si="356"/>
        <v>0</v>
      </c>
      <c r="AU140" s="18"/>
      <c r="AV140" s="18"/>
      <c r="AW140" s="18">
        <f t="shared" si="356"/>
        <v>0</v>
      </c>
      <c r="AX140" s="18">
        <f t="shared" si="356"/>
        <v>0</v>
      </c>
      <c r="AY140" s="18">
        <f t="shared" si="356"/>
        <v>91661</v>
      </c>
      <c r="AZ140" s="18"/>
      <c r="BA140" s="18">
        <f t="shared" si="356"/>
        <v>0</v>
      </c>
      <c r="BB140" s="18">
        <f t="shared" si="356"/>
        <v>0</v>
      </c>
      <c r="BC140" s="18">
        <f t="shared" si="356"/>
        <v>0</v>
      </c>
      <c r="BD140" s="18">
        <f t="shared" si="356"/>
        <v>0</v>
      </c>
      <c r="BE140" s="18">
        <f t="shared" si="356"/>
        <v>0</v>
      </c>
      <c r="BF140" s="18">
        <f t="shared" si="356"/>
        <v>0</v>
      </c>
      <c r="BG140" s="18">
        <f t="shared" si="356"/>
        <v>0</v>
      </c>
      <c r="BH140" s="18">
        <f t="shared" si="356"/>
        <v>0</v>
      </c>
      <c r="BI140" s="18">
        <f t="shared" si="356"/>
        <v>0</v>
      </c>
      <c r="BJ140" s="18">
        <f t="shared" si="356"/>
        <v>0</v>
      </c>
      <c r="BK140" s="18">
        <f t="shared" ref="BK140" si="358">SUM(BK141:BK143)</f>
        <v>0</v>
      </c>
      <c r="BL140" s="18">
        <f t="shared" si="356"/>
        <v>0</v>
      </c>
      <c r="BM140" s="18">
        <f t="shared" si="356"/>
        <v>0</v>
      </c>
      <c r="BN140" s="18">
        <f t="shared" ref="BN140" si="359">SUM(BN141:BN143)</f>
        <v>0</v>
      </c>
      <c r="BO140" s="18">
        <f t="shared" si="356"/>
        <v>0</v>
      </c>
      <c r="BP140" s="18">
        <f t="shared" si="356"/>
        <v>0</v>
      </c>
      <c r="BQ140" s="18">
        <f t="shared" si="356"/>
        <v>0</v>
      </c>
      <c r="BR140" s="18">
        <f t="shared" si="356"/>
        <v>0</v>
      </c>
      <c r="BS140" s="18">
        <f t="shared" si="356"/>
        <v>0</v>
      </c>
      <c r="BT140" s="18">
        <f t="shared" si="356"/>
        <v>0</v>
      </c>
      <c r="BU140" s="18">
        <f t="shared" si="356"/>
        <v>0</v>
      </c>
      <c r="BV140" s="18">
        <f t="shared" ref="BV140:DA140" si="360">SUM(BV141:BV143)</f>
        <v>0</v>
      </c>
      <c r="BW140" s="18">
        <f t="shared" si="360"/>
        <v>0</v>
      </c>
      <c r="BX140" s="18">
        <f t="shared" si="360"/>
        <v>0</v>
      </c>
      <c r="BY140" s="18">
        <f t="shared" si="360"/>
        <v>0</v>
      </c>
      <c r="BZ140" s="18">
        <f t="shared" si="360"/>
        <v>0</v>
      </c>
      <c r="CA140" s="18">
        <f t="shared" si="360"/>
        <v>999296</v>
      </c>
      <c r="CB140" s="18">
        <f t="shared" si="360"/>
        <v>999296</v>
      </c>
      <c r="CC140" s="18">
        <f t="shared" si="360"/>
        <v>999296</v>
      </c>
      <c r="CD140" s="18">
        <f t="shared" si="360"/>
        <v>0</v>
      </c>
      <c r="CE140" s="18">
        <f t="shared" si="360"/>
        <v>999296</v>
      </c>
      <c r="CF140" s="18">
        <f t="shared" si="360"/>
        <v>0</v>
      </c>
      <c r="CG140" s="18">
        <f t="shared" si="360"/>
        <v>0</v>
      </c>
      <c r="CH140" s="18">
        <f t="shared" ref="CH140:CI140" si="361">SUM(CH141:CH143)</f>
        <v>0</v>
      </c>
      <c r="CI140" s="18">
        <f t="shared" si="361"/>
        <v>0</v>
      </c>
      <c r="CJ140" s="18">
        <f t="shared" si="360"/>
        <v>0</v>
      </c>
      <c r="CK140" s="18">
        <f t="shared" ref="CK140" si="362">SUM(CK141:CK143)</f>
        <v>0</v>
      </c>
      <c r="CL140" s="18">
        <f t="shared" si="360"/>
        <v>0</v>
      </c>
      <c r="CM140" s="18">
        <f t="shared" si="360"/>
        <v>0</v>
      </c>
      <c r="CN140" s="18">
        <f t="shared" ref="CN140" si="363">SUM(CN141:CN143)</f>
        <v>0</v>
      </c>
      <c r="CO140" s="18">
        <f t="shared" si="360"/>
        <v>0</v>
      </c>
      <c r="CP140" s="18"/>
      <c r="CQ140" s="18"/>
      <c r="CR140" s="18"/>
      <c r="CS140" s="18"/>
      <c r="CT140" s="18">
        <f t="shared" si="360"/>
        <v>0</v>
      </c>
      <c r="CU140" s="18"/>
      <c r="CV140" s="18"/>
      <c r="CW140" s="18"/>
      <c r="CX140" s="18">
        <f t="shared" si="360"/>
        <v>0</v>
      </c>
      <c r="CY140" s="18">
        <f t="shared" si="360"/>
        <v>0</v>
      </c>
      <c r="CZ140" s="18">
        <f t="shared" si="360"/>
        <v>0</v>
      </c>
      <c r="DA140" s="46">
        <f t="shared" si="360"/>
        <v>0</v>
      </c>
      <c r="DB140" s="85"/>
    </row>
    <row r="141" spans="1:106" ht="31.5" x14ac:dyDescent="0.25">
      <c r="A141" s="72" t="s">
        <v>1</v>
      </c>
      <c r="B141" s="21" t="s">
        <v>96</v>
      </c>
      <c r="C141" s="22" t="s">
        <v>550</v>
      </c>
      <c r="D141" s="18">
        <f>SUM(E141+CA141+CX141)</f>
        <v>11453391</v>
      </c>
      <c r="E141" s="19">
        <f>SUM(F141+BB141)</f>
        <v>10568205</v>
      </c>
      <c r="F141" s="19">
        <f t="shared" ref="F141:F143" si="364">SUM(G141+H141+I141+P141+S141+T141+U141+AE141)</f>
        <v>10568205</v>
      </c>
      <c r="G141" s="23">
        <v>8091577</v>
      </c>
      <c r="H141" s="23">
        <v>1876860</v>
      </c>
      <c r="I141" s="19">
        <f t="shared" si="120"/>
        <v>61716</v>
      </c>
      <c r="J141" s="23">
        <v>0</v>
      </c>
      <c r="K141" s="23"/>
      <c r="L141" s="23">
        <v>0</v>
      </c>
      <c r="M141" s="23">
        <v>0</v>
      </c>
      <c r="N141" s="23">
        <v>50021</v>
      </c>
      <c r="O141" s="23">
        <v>11695</v>
      </c>
      <c r="P141" s="19">
        <f t="shared" si="121"/>
        <v>0</v>
      </c>
      <c r="Q141" s="19">
        <v>0</v>
      </c>
      <c r="R141" s="19">
        <v>0</v>
      </c>
      <c r="S141" s="19">
        <v>0</v>
      </c>
      <c r="T141" s="23">
        <v>22800</v>
      </c>
      <c r="U141" s="19">
        <f t="shared" ref="U141:U143" si="365">SUM(V141:AC141)</f>
        <v>297819</v>
      </c>
      <c r="V141" s="23">
        <v>0</v>
      </c>
      <c r="W141" s="23">
        <v>196022</v>
      </c>
      <c r="X141" s="23">
        <f>68475+3572</f>
        <v>72047</v>
      </c>
      <c r="Y141" s="23">
        <v>22295</v>
      </c>
      <c r="Z141" s="23">
        <v>7455</v>
      </c>
      <c r="AA141" s="23">
        <v>0</v>
      </c>
      <c r="AB141" s="23">
        <v>0</v>
      </c>
      <c r="AC141" s="23">
        <v>0</v>
      </c>
      <c r="AD141" s="19">
        <v>0</v>
      </c>
      <c r="AE141" s="19">
        <f>SUM(AF141:BA141)</f>
        <v>217433</v>
      </c>
      <c r="AF141" s="19">
        <v>0</v>
      </c>
      <c r="AG141" s="19">
        <v>0</v>
      </c>
      <c r="AH141" s="23">
        <v>3095</v>
      </c>
      <c r="AI141" s="23">
        <v>3636</v>
      </c>
      <c r="AJ141" s="23">
        <v>0</v>
      </c>
      <c r="AK141" s="23">
        <v>0</v>
      </c>
      <c r="AL141" s="23">
        <v>0</v>
      </c>
      <c r="AM141" s="23">
        <v>0</v>
      </c>
      <c r="AN141" s="23">
        <v>3000</v>
      </c>
      <c r="AO141" s="23">
        <v>0</v>
      </c>
      <c r="AP141" s="23">
        <v>0</v>
      </c>
      <c r="AQ141" s="23"/>
      <c r="AR141" s="23">
        <v>0</v>
      </c>
      <c r="AS141" s="23">
        <v>138074</v>
      </c>
      <c r="AT141" s="23">
        <v>0</v>
      </c>
      <c r="AU141" s="23">
        <v>0</v>
      </c>
      <c r="AV141" s="23">
        <v>0</v>
      </c>
      <c r="AW141" s="23">
        <v>0</v>
      </c>
      <c r="AX141" s="23">
        <v>0</v>
      </c>
      <c r="AY141" s="23">
        <f>73200-3572</f>
        <v>69628</v>
      </c>
      <c r="AZ141" s="23">
        <v>0</v>
      </c>
      <c r="BA141" s="23">
        <v>0</v>
      </c>
      <c r="BB141" s="19">
        <f>SUM(BC141+BG141+BJ141+BL141+BO141)</f>
        <v>0</v>
      </c>
      <c r="BC141" s="19">
        <f>SUM(BD141:BF141)</f>
        <v>0</v>
      </c>
      <c r="BD141" s="19">
        <v>0</v>
      </c>
      <c r="BE141" s="19">
        <v>0</v>
      </c>
      <c r="BF141" s="19">
        <v>0</v>
      </c>
      <c r="BG141" s="19">
        <f>SUM(BI141:BI141)</f>
        <v>0</v>
      </c>
      <c r="BH141" s="19">
        <v>0</v>
      </c>
      <c r="BI141" s="19">
        <v>0</v>
      </c>
      <c r="BJ141" s="19">
        <v>0</v>
      </c>
      <c r="BK141" s="19">
        <v>0</v>
      </c>
      <c r="BL141" s="19">
        <f t="shared" si="122"/>
        <v>0</v>
      </c>
      <c r="BM141" s="19">
        <v>0</v>
      </c>
      <c r="BN141" s="19">
        <v>0</v>
      </c>
      <c r="BO141" s="19">
        <f>SUM(BP141:BZ141)</f>
        <v>0</v>
      </c>
      <c r="BP141" s="19">
        <v>0</v>
      </c>
      <c r="BQ141" s="19">
        <v>0</v>
      </c>
      <c r="BR141" s="19">
        <v>0</v>
      </c>
      <c r="BS141" s="19">
        <v>0</v>
      </c>
      <c r="BT141" s="19">
        <v>0</v>
      </c>
      <c r="BU141" s="19">
        <v>0</v>
      </c>
      <c r="BV141" s="19">
        <v>0</v>
      </c>
      <c r="BW141" s="19">
        <v>0</v>
      </c>
      <c r="BX141" s="19">
        <v>0</v>
      </c>
      <c r="BY141" s="19">
        <v>0</v>
      </c>
      <c r="BZ141" s="19">
        <v>0</v>
      </c>
      <c r="CA141" s="19">
        <f>SUM(CB141+CT141)</f>
        <v>885186</v>
      </c>
      <c r="CB141" s="19">
        <f>SUM(CC141+CF141+CL141)</f>
        <v>885186</v>
      </c>
      <c r="CC141" s="19">
        <f t="shared" si="123"/>
        <v>885186</v>
      </c>
      <c r="CD141" s="19">
        <v>0</v>
      </c>
      <c r="CE141" s="23">
        <v>885186</v>
      </c>
      <c r="CF141" s="19">
        <f t="shared" ref="CF141:CF143" si="366">SUM(CG141:CK141)</f>
        <v>0</v>
      </c>
      <c r="CG141" s="19">
        <v>0</v>
      </c>
      <c r="CH141" s="19">
        <v>0</v>
      </c>
      <c r="CI141" s="19">
        <v>0</v>
      </c>
      <c r="CJ141" s="19">
        <v>0</v>
      </c>
      <c r="CK141" s="19">
        <v>0</v>
      </c>
      <c r="CL141" s="19">
        <f>SUM(CM141:CQ141)</f>
        <v>0</v>
      </c>
      <c r="CM141" s="19">
        <v>0</v>
      </c>
      <c r="CN141" s="19">
        <v>0</v>
      </c>
      <c r="CO141" s="19">
        <v>0</v>
      </c>
      <c r="CP141" s="19"/>
      <c r="CQ141" s="19"/>
      <c r="CR141" s="19"/>
      <c r="CS141" s="19"/>
      <c r="CT141" s="19">
        <v>0</v>
      </c>
      <c r="CU141" s="19"/>
      <c r="CV141" s="19"/>
      <c r="CW141" s="19"/>
      <c r="CX141" s="19">
        <f t="shared" si="124"/>
        <v>0</v>
      </c>
      <c r="CY141" s="19">
        <f t="shared" si="125"/>
        <v>0</v>
      </c>
      <c r="CZ141" s="19">
        <v>0</v>
      </c>
      <c r="DA141" s="20">
        <v>0</v>
      </c>
    </row>
    <row r="142" spans="1:106" ht="15.75" x14ac:dyDescent="0.25">
      <c r="A142" s="72" t="s">
        <v>1</v>
      </c>
      <c r="B142" s="21" t="s">
        <v>96</v>
      </c>
      <c r="C142" s="22" t="s">
        <v>534</v>
      </c>
      <c r="D142" s="18">
        <f>SUM(E142+CA142+CX142)</f>
        <v>1232259</v>
      </c>
      <c r="E142" s="19">
        <f>SUM(F142+BB142)</f>
        <v>1232259</v>
      </c>
      <c r="F142" s="19">
        <f t="shared" si="364"/>
        <v>1232259</v>
      </c>
      <c r="G142" s="23">
        <v>913618</v>
      </c>
      <c r="H142" s="23">
        <v>214031</v>
      </c>
      <c r="I142" s="19">
        <f t="shared" si="120"/>
        <v>5000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5000</v>
      </c>
      <c r="P142" s="19">
        <f t="shared" si="121"/>
        <v>0</v>
      </c>
      <c r="Q142" s="19">
        <v>0</v>
      </c>
      <c r="R142" s="19">
        <v>0</v>
      </c>
      <c r="S142" s="19">
        <v>0</v>
      </c>
      <c r="T142" s="23">
        <v>9325</v>
      </c>
      <c r="U142" s="19">
        <f t="shared" si="365"/>
        <v>27748</v>
      </c>
      <c r="V142" s="23">
        <v>0</v>
      </c>
      <c r="W142" s="23">
        <v>0</v>
      </c>
      <c r="X142" s="23">
        <v>21114</v>
      </c>
      <c r="Y142" s="23">
        <v>2231</v>
      </c>
      <c r="Z142" s="23">
        <v>505</v>
      </c>
      <c r="AA142" s="23">
        <v>0</v>
      </c>
      <c r="AB142" s="23">
        <v>0</v>
      </c>
      <c r="AC142" s="23">
        <v>3898</v>
      </c>
      <c r="AD142" s="19">
        <v>0</v>
      </c>
      <c r="AE142" s="19">
        <f>SUM(AF142:BA142)</f>
        <v>62537</v>
      </c>
      <c r="AF142" s="19">
        <v>0</v>
      </c>
      <c r="AG142" s="19">
        <v>0</v>
      </c>
      <c r="AH142" s="23">
        <v>0</v>
      </c>
      <c r="AI142" s="23">
        <v>0</v>
      </c>
      <c r="AJ142" s="23">
        <v>0</v>
      </c>
      <c r="AK142" s="23">
        <v>0</v>
      </c>
      <c r="AL142" s="23">
        <v>0</v>
      </c>
      <c r="AM142" s="23">
        <v>0</v>
      </c>
      <c r="AN142" s="23">
        <v>0</v>
      </c>
      <c r="AO142" s="23">
        <v>0</v>
      </c>
      <c r="AP142" s="23">
        <v>0</v>
      </c>
      <c r="AQ142" s="23"/>
      <c r="AR142" s="23">
        <v>0</v>
      </c>
      <c r="AS142" s="23">
        <v>40504</v>
      </c>
      <c r="AT142" s="23">
        <v>0</v>
      </c>
      <c r="AU142" s="23">
        <v>0</v>
      </c>
      <c r="AV142" s="23">
        <v>0</v>
      </c>
      <c r="AW142" s="23">
        <v>0</v>
      </c>
      <c r="AX142" s="23">
        <v>0</v>
      </c>
      <c r="AY142" s="23">
        <v>22033</v>
      </c>
      <c r="AZ142" s="23">
        <v>0</v>
      </c>
      <c r="BA142" s="23">
        <v>0</v>
      </c>
      <c r="BB142" s="19">
        <f>SUM(BC142+BG142+BJ142+BL142+BO142)</f>
        <v>0</v>
      </c>
      <c r="BC142" s="19">
        <f>SUM(BD142:BF142)</f>
        <v>0</v>
      </c>
      <c r="BD142" s="19">
        <v>0</v>
      </c>
      <c r="BE142" s="19">
        <v>0</v>
      </c>
      <c r="BF142" s="19">
        <v>0</v>
      </c>
      <c r="BG142" s="19">
        <f>SUM(BI142:BI142)</f>
        <v>0</v>
      </c>
      <c r="BH142" s="19">
        <v>0</v>
      </c>
      <c r="BI142" s="19">
        <v>0</v>
      </c>
      <c r="BJ142" s="19">
        <v>0</v>
      </c>
      <c r="BK142" s="19">
        <v>0</v>
      </c>
      <c r="BL142" s="19">
        <f t="shared" si="122"/>
        <v>0</v>
      </c>
      <c r="BM142" s="19">
        <v>0</v>
      </c>
      <c r="BN142" s="19">
        <v>0</v>
      </c>
      <c r="BO142" s="19">
        <f>SUM(BP142:BZ142)</f>
        <v>0</v>
      </c>
      <c r="BP142" s="19">
        <v>0</v>
      </c>
      <c r="BQ142" s="19">
        <v>0</v>
      </c>
      <c r="BR142" s="19">
        <v>0</v>
      </c>
      <c r="BS142" s="19">
        <v>0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0</v>
      </c>
      <c r="BZ142" s="19">
        <v>0</v>
      </c>
      <c r="CA142" s="19">
        <f>SUM(CB142+CT142)</f>
        <v>0</v>
      </c>
      <c r="CB142" s="19">
        <f>SUM(CC142+CF142+CL142)</f>
        <v>0</v>
      </c>
      <c r="CC142" s="19">
        <f t="shared" si="123"/>
        <v>0</v>
      </c>
      <c r="CD142" s="19">
        <v>0</v>
      </c>
      <c r="CE142" s="23">
        <v>0</v>
      </c>
      <c r="CF142" s="19">
        <f t="shared" si="366"/>
        <v>0</v>
      </c>
      <c r="CG142" s="19">
        <v>0</v>
      </c>
      <c r="CH142" s="19">
        <v>0</v>
      </c>
      <c r="CI142" s="19">
        <v>0</v>
      </c>
      <c r="CJ142" s="19">
        <v>0</v>
      </c>
      <c r="CK142" s="19">
        <v>0</v>
      </c>
      <c r="CL142" s="19">
        <f>SUM(CM142:CQ142)</f>
        <v>0</v>
      </c>
      <c r="CM142" s="19">
        <v>0</v>
      </c>
      <c r="CN142" s="19">
        <v>0</v>
      </c>
      <c r="CO142" s="19">
        <v>0</v>
      </c>
      <c r="CP142" s="19"/>
      <c r="CQ142" s="19"/>
      <c r="CR142" s="19"/>
      <c r="CS142" s="19"/>
      <c r="CT142" s="19">
        <v>0</v>
      </c>
      <c r="CU142" s="19"/>
      <c r="CV142" s="19"/>
      <c r="CW142" s="19"/>
      <c r="CX142" s="19">
        <f t="shared" si="124"/>
        <v>0</v>
      </c>
      <c r="CY142" s="19">
        <f t="shared" si="125"/>
        <v>0</v>
      </c>
      <c r="CZ142" s="19">
        <v>0</v>
      </c>
      <c r="DA142" s="20">
        <v>0</v>
      </c>
    </row>
    <row r="143" spans="1:106" ht="31.5" x14ac:dyDescent="0.25">
      <c r="A143" s="72" t="s">
        <v>1</v>
      </c>
      <c r="B143" s="21" t="s">
        <v>96</v>
      </c>
      <c r="C143" s="22" t="s">
        <v>626</v>
      </c>
      <c r="D143" s="18">
        <f>SUM(E143+CA143+CX143)</f>
        <v>5231595</v>
      </c>
      <c r="E143" s="19">
        <f>SUM(F143+BB143)</f>
        <v>5117485</v>
      </c>
      <c r="F143" s="19">
        <f t="shared" si="364"/>
        <v>5117485</v>
      </c>
      <c r="G143" s="23">
        <v>4119588</v>
      </c>
      <c r="H143" s="23">
        <v>997897</v>
      </c>
      <c r="I143" s="19">
        <f t="shared" si="120"/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19">
        <f t="shared" si="121"/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f t="shared" si="365"/>
        <v>0</v>
      </c>
      <c r="V143" s="23"/>
      <c r="W143" s="23"/>
      <c r="X143" s="23"/>
      <c r="Y143" s="23"/>
      <c r="Z143" s="23"/>
      <c r="AA143" s="23"/>
      <c r="AB143" s="23"/>
      <c r="AC143" s="23"/>
      <c r="AD143" s="19">
        <v>0</v>
      </c>
      <c r="AE143" s="19">
        <f>SUM(AF143:BA143)</f>
        <v>0</v>
      </c>
      <c r="AF143" s="19">
        <v>0</v>
      </c>
      <c r="AG143" s="19">
        <v>0</v>
      </c>
      <c r="AH143" s="23">
        <v>0</v>
      </c>
      <c r="AI143" s="23">
        <v>0</v>
      </c>
      <c r="AJ143" s="23">
        <v>0</v>
      </c>
      <c r="AK143" s="23">
        <v>0</v>
      </c>
      <c r="AL143" s="23">
        <v>0</v>
      </c>
      <c r="AM143" s="23">
        <v>0</v>
      </c>
      <c r="AN143" s="23">
        <v>0</v>
      </c>
      <c r="AO143" s="23">
        <v>0</v>
      </c>
      <c r="AP143" s="23">
        <v>0</v>
      </c>
      <c r="AQ143" s="23"/>
      <c r="AR143" s="23">
        <v>0</v>
      </c>
      <c r="AS143" s="23">
        <v>0</v>
      </c>
      <c r="AT143" s="23">
        <v>0</v>
      </c>
      <c r="AU143" s="23">
        <v>0</v>
      </c>
      <c r="AV143" s="23">
        <v>0</v>
      </c>
      <c r="AW143" s="23">
        <v>0</v>
      </c>
      <c r="AX143" s="23">
        <v>0</v>
      </c>
      <c r="AY143" s="23">
        <v>0</v>
      </c>
      <c r="AZ143" s="23">
        <v>0</v>
      </c>
      <c r="BA143" s="23">
        <v>0</v>
      </c>
      <c r="BB143" s="19">
        <f>SUM(BC143+BG143+BJ143+BL143+BO143)</f>
        <v>0</v>
      </c>
      <c r="BC143" s="19">
        <f>SUM(BD143:BF143)</f>
        <v>0</v>
      </c>
      <c r="BD143" s="19">
        <v>0</v>
      </c>
      <c r="BE143" s="19">
        <v>0</v>
      </c>
      <c r="BF143" s="19">
        <v>0</v>
      </c>
      <c r="BG143" s="19">
        <f>SUM(BI143:BI143)</f>
        <v>0</v>
      </c>
      <c r="BH143" s="19">
        <v>0</v>
      </c>
      <c r="BI143" s="19">
        <v>0</v>
      </c>
      <c r="BJ143" s="19">
        <v>0</v>
      </c>
      <c r="BK143" s="19">
        <v>0</v>
      </c>
      <c r="BL143" s="19">
        <f t="shared" si="122"/>
        <v>0</v>
      </c>
      <c r="BM143" s="19">
        <v>0</v>
      </c>
      <c r="BN143" s="19">
        <v>0</v>
      </c>
      <c r="BO143" s="19">
        <f>SUM(BP143:BZ143)</f>
        <v>0</v>
      </c>
      <c r="BP143" s="19">
        <v>0</v>
      </c>
      <c r="BQ143" s="19">
        <v>0</v>
      </c>
      <c r="BR143" s="19">
        <v>0</v>
      </c>
      <c r="BS143" s="19">
        <v>0</v>
      </c>
      <c r="BT143" s="19">
        <v>0</v>
      </c>
      <c r="BU143" s="19">
        <v>0</v>
      </c>
      <c r="BV143" s="19">
        <v>0</v>
      </c>
      <c r="BW143" s="19">
        <v>0</v>
      </c>
      <c r="BX143" s="19">
        <v>0</v>
      </c>
      <c r="BY143" s="19">
        <v>0</v>
      </c>
      <c r="BZ143" s="19">
        <v>0</v>
      </c>
      <c r="CA143" s="19">
        <f>SUM(CB143+CT143)</f>
        <v>114110</v>
      </c>
      <c r="CB143" s="19">
        <f>SUM(CC143+CF143+CL143)</f>
        <v>114110</v>
      </c>
      <c r="CC143" s="19">
        <f t="shared" si="123"/>
        <v>114110</v>
      </c>
      <c r="CD143" s="19">
        <v>0</v>
      </c>
      <c r="CE143" s="19">
        <v>114110</v>
      </c>
      <c r="CF143" s="19">
        <f t="shared" si="366"/>
        <v>0</v>
      </c>
      <c r="CG143" s="19">
        <v>0</v>
      </c>
      <c r="CH143" s="19">
        <v>0</v>
      </c>
      <c r="CI143" s="19">
        <v>0</v>
      </c>
      <c r="CJ143" s="19">
        <v>0</v>
      </c>
      <c r="CK143" s="19">
        <v>0</v>
      </c>
      <c r="CL143" s="19">
        <f>SUM(CM143:CQ143)</f>
        <v>0</v>
      </c>
      <c r="CM143" s="19">
        <v>0</v>
      </c>
      <c r="CN143" s="19">
        <v>0</v>
      </c>
      <c r="CO143" s="19">
        <v>0</v>
      </c>
      <c r="CP143" s="19"/>
      <c r="CQ143" s="19"/>
      <c r="CR143" s="19"/>
      <c r="CS143" s="19"/>
      <c r="CT143" s="19">
        <v>0</v>
      </c>
      <c r="CU143" s="19"/>
      <c r="CV143" s="19"/>
      <c r="CW143" s="19"/>
      <c r="CX143" s="19">
        <f t="shared" si="124"/>
        <v>0</v>
      </c>
      <c r="CY143" s="19">
        <f t="shared" si="125"/>
        <v>0</v>
      </c>
      <c r="CZ143" s="19">
        <v>0</v>
      </c>
      <c r="DA143" s="20">
        <v>0</v>
      </c>
    </row>
    <row r="144" spans="1:106" s="86" customFormat="1" ht="15.75" x14ac:dyDescent="0.25">
      <c r="A144" s="71" t="s">
        <v>243</v>
      </c>
      <c r="B144" s="16" t="s">
        <v>1</v>
      </c>
      <c r="C144" s="17" t="s">
        <v>244</v>
      </c>
      <c r="D144" s="18">
        <f>SUM(D145:D146)</f>
        <v>629478</v>
      </c>
      <c r="E144" s="18">
        <f t="shared" ref="E144:BU144" si="367">SUM(E145:E146)</f>
        <v>629478</v>
      </c>
      <c r="F144" s="18">
        <f t="shared" si="367"/>
        <v>629478</v>
      </c>
      <c r="G144" s="18">
        <f t="shared" si="367"/>
        <v>0</v>
      </c>
      <c r="H144" s="18">
        <f t="shared" si="367"/>
        <v>0</v>
      </c>
      <c r="I144" s="18">
        <f t="shared" si="367"/>
        <v>0</v>
      </c>
      <c r="J144" s="18">
        <f t="shared" si="367"/>
        <v>0</v>
      </c>
      <c r="K144" s="18">
        <f t="shared" si="367"/>
        <v>0</v>
      </c>
      <c r="L144" s="18">
        <f t="shared" si="367"/>
        <v>0</v>
      </c>
      <c r="M144" s="18">
        <f t="shared" si="367"/>
        <v>0</v>
      </c>
      <c r="N144" s="18">
        <f t="shared" si="367"/>
        <v>0</v>
      </c>
      <c r="O144" s="18">
        <f t="shared" si="367"/>
        <v>0</v>
      </c>
      <c r="P144" s="18">
        <f t="shared" si="367"/>
        <v>0</v>
      </c>
      <c r="Q144" s="18">
        <f t="shared" si="367"/>
        <v>0</v>
      </c>
      <c r="R144" s="18">
        <f t="shared" si="367"/>
        <v>0</v>
      </c>
      <c r="S144" s="18">
        <f t="shared" si="367"/>
        <v>0</v>
      </c>
      <c r="T144" s="18">
        <f t="shared" si="367"/>
        <v>0</v>
      </c>
      <c r="U144" s="18">
        <f t="shared" si="367"/>
        <v>0</v>
      </c>
      <c r="V144" s="18">
        <f t="shared" si="367"/>
        <v>0</v>
      </c>
      <c r="W144" s="18">
        <f t="shared" si="367"/>
        <v>0</v>
      </c>
      <c r="X144" s="18">
        <f t="shared" si="367"/>
        <v>0</v>
      </c>
      <c r="Y144" s="18">
        <f t="shared" si="367"/>
        <v>0</v>
      </c>
      <c r="Z144" s="18">
        <f t="shared" si="367"/>
        <v>0</v>
      </c>
      <c r="AA144" s="18">
        <f t="shared" si="367"/>
        <v>0</v>
      </c>
      <c r="AB144" s="18">
        <f t="shared" si="367"/>
        <v>0</v>
      </c>
      <c r="AC144" s="18">
        <f t="shared" si="367"/>
        <v>0</v>
      </c>
      <c r="AD144" s="18">
        <f t="shared" ref="AD144" si="368">SUM(AD145:AD146)</f>
        <v>0</v>
      </c>
      <c r="AE144" s="18">
        <f t="shared" si="367"/>
        <v>629478</v>
      </c>
      <c r="AF144" s="18">
        <f t="shared" si="367"/>
        <v>0</v>
      </c>
      <c r="AG144" s="18">
        <f t="shared" si="367"/>
        <v>0</v>
      </c>
      <c r="AH144" s="18">
        <f t="shared" si="367"/>
        <v>0</v>
      </c>
      <c r="AI144" s="18">
        <f t="shared" si="367"/>
        <v>0</v>
      </c>
      <c r="AJ144" s="18">
        <f t="shared" si="367"/>
        <v>0</v>
      </c>
      <c r="AK144" s="18">
        <f t="shared" si="367"/>
        <v>0</v>
      </c>
      <c r="AL144" s="18">
        <f t="shared" si="367"/>
        <v>0</v>
      </c>
      <c r="AM144" s="18">
        <f t="shared" si="367"/>
        <v>0</v>
      </c>
      <c r="AN144" s="18">
        <f t="shared" si="367"/>
        <v>0</v>
      </c>
      <c r="AO144" s="18">
        <f t="shared" si="367"/>
        <v>0</v>
      </c>
      <c r="AP144" s="18">
        <f t="shared" si="367"/>
        <v>0</v>
      </c>
      <c r="AQ144" s="18"/>
      <c r="AR144" s="18">
        <f t="shared" si="367"/>
        <v>0</v>
      </c>
      <c r="AS144" s="18">
        <f t="shared" si="367"/>
        <v>0</v>
      </c>
      <c r="AT144" s="18">
        <f t="shared" si="367"/>
        <v>0</v>
      </c>
      <c r="AU144" s="18"/>
      <c r="AV144" s="18"/>
      <c r="AW144" s="18">
        <f t="shared" si="367"/>
        <v>0</v>
      </c>
      <c r="AX144" s="18">
        <f t="shared" si="367"/>
        <v>0</v>
      </c>
      <c r="AY144" s="18">
        <f t="shared" si="367"/>
        <v>0</v>
      </c>
      <c r="AZ144" s="18"/>
      <c r="BA144" s="18">
        <f t="shared" si="367"/>
        <v>629478</v>
      </c>
      <c r="BB144" s="18">
        <f t="shared" si="367"/>
        <v>0</v>
      </c>
      <c r="BC144" s="18">
        <f t="shared" si="367"/>
        <v>0</v>
      </c>
      <c r="BD144" s="18">
        <f t="shared" si="367"/>
        <v>0</v>
      </c>
      <c r="BE144" s="18">
        <f t="shared" si="367"/>
        <v>0</v>
      </c>
      <c r="BF144" s="18">
        <f t="shared" si="367"/>
        <v>0</v>
      </c>
      <c r="BG144" s="18">
        <f t="shared" si="367"/>
        <v>0</v>
      </c>
      <c r="BH144" s="18">
        <f t="shared" si="367"/>
        <v>0</v>
      </c>
      <c r="BI144" s="18">
        <f t="shared" si="367"/>
        <v>0</v>
      </c>
      <c r="BJ144" s="18">
        <f t="shared" si="367"/>
        <v>0</v>
      </c>
      <c r="BK144" s="18">
        <f t="shared" ref="BK144" si="369">SUM(BK145:BK146)</f>
        <v>0</v>
      </c>
      <c r="BL144" s="18">
        <f t="shared" si="367"/>
        <v>0</v>
      </c>
      <c r="BM144" s="18">
        <f t="shared" si="367"/>
        <v>0</v>
      </c>
      <c r="BN144" s="18">
        <f t="shared" ref="BN144" si="370">SUM(BN145:BN146)</f>
        <v>0</v>
      </c>
      <c r="BO144" s="18">
        <f t="shared" si="367"/>
        <v>0</v>
      </c>
      <c r="BP144" s="18">
        <f t="shared" si="367"/>
        <v>0</v>
      </c>
      <c r="BQ144" s="18">
        <f t="shared" si="367"/>
        <v>0</v>
      </c>
      <c r="BR144" s="18">
        <f t="shared" si="367"/>
        <v>0</v>
      </c>
      <c r="BS144" s="18">
        <f t="shared" si="367"/>
        <v>0</v>
      </c>
      <c r="BT144" s="18">
        <f t="shared" si="367"/>
        <v>0</v>
      </c>
      <c r="BU144" s="18">
        <f t="shared" si="367"/>
        <v>0</v>
      </c>
      <c r="BV144" s="18">
        <f t="shared" ref="BV144:DA144" si="371">SUM(BV145:BV146)</f>
        <v>0</v>
      </c>
      <c r="BW144" s="18">
        <f t="shared" si="371"/>
        <v>0</v>
      </c>
      <c r="BX144" s="18">
        <f t="shared" si="371"/>
        <v>0</v>
      </c>
      <c r="BY144" s="18">
        <f t="shared" si="371"/>
        <v>0</v>
      </c>
      <c r="BZ144" s="18">
        <f t="shared" si="371"/>
        <v>0</v>
      </c>
      <c r="CA144" s="18">
        <f t="shared" si="371"/>
        <v>0</v>
      </c>
      <c r="CB144" s="18">
        <f t="shared" si="371"/>
        <v>0</v>
      </c>
      <c r="CC144" s="18">
        <f t="shared" si="371"/>
        <v>0</v>
      </c>
      <c r="CD144" s="18">
        <f t="shared" si="371"/>
        <v>0</v>
      </c>
      <c r="CE144" s="18">
        <f t="shared" si="371"/>
        <v>0</v>
      </c>
      <c r="CF144" s="18">
        <f t="shared" si="371"/>
        <v>0</v>
      </c>
      <c r="CG144" s="18">
        <f t="shared" si="371"/>
        <v>0</v>
      </c>
      <c r="CH144" s="18">
        <f t="shared" ref="CH144:CI144" si="372">SUM(CH145:CH146)</f>
        <v>0</v>
      </c>
      <c r="CI144" s="18">
        <f t="shared" si="372"/>
        <v>0</v>
      </c>
      <c r="CJ144" s="18">
        <f t="shared" si="371"/>
        <v>0</v>
      </c>
      <c r="CK144" s="18">
        <f t="shared" ref="CK144" si="373">SUM(CK145:CK146)</f>
        <v>0</v>
      </c>
      <c r="CL144" s="18">
        <f t="shared" si="371"/>
        <v>0</v>
      </c>
      <c r="CM144" s="18">
        <f t="shared" si="371"/>
        <v>0</v>
      </c>
      <c r="CN144" s="18">
        <f t="shared" ref="CN144" si="374">SUM(CN145:CN146)</f>
        <v>0</v>
      </c>
      <c r="CO144" s="18">
        <f t="shared" si="371"/>
        <v>0</v>
      </c>
      <c r="CP144" s="18"/>
      <c r="CQ144" s="18"/>
      <c r="CR144" s="18"/>
      <c r="CS144" s="18"/>
      <c r="CT144" s="18">
        <f t="shared" si="371"/>
        <v>0</v>
      </c>
      <c r="CU144" s="18"/>
      <c r="CV144" s="18"/>
      <c r="CW144" s="18"/>
      <c r="CX144" s="18">
        <f t="shared" si="371"/>
        <v>0</v>
      </c>
      <c r="CY144" s="18">
        <f t="shared" si="371"/>
        <v>0</v>
      </c>
      <c r="CZ144" s="18">
        <f t="shared" si="371"/>
        <v>0</v>
      </c>
      <c r="DA144" s="46">
        <f t="shared" si="371"/>
        <v>0</v>
      </c>
      <c r="DB144" s="85"/>
    </row>
    <row r="145" spans="1:106" ht="15.75" x14ac:dyDescent="0.25">
      <c r="A145" s="72" t="s">
        <v>1</v>
      </c>
      <c r="B145" s="21" t="s">
        <v>86</v>
      </c>
      <c r="C145" s="22" t="s">
        <v>245</v>
      </c>
      <c r="D145" s="18">
        <f>SUM(E145+CA145+CX145)</f>
        <v>420196</v>
      </c>
      <c r="E145" s="19">
        <f>SUM(F145+BB145)</f>
        <v>420196</v>
      </c>
      <c r="F145" s="19">
        <f t="shared" ref="F145:F146" si="375">SUM(G145+H145+I145+P145+S145+T145+U145+AE145)</f>
        <v>420196</v>
      </c>
      <c r="G145" s="19">
        <v>0</v>
      </c>
      <c r="H145" s="19">
        <v>0</v>
      </c>
      <c r="I145" s="19">
        <f t="shared" ref="I145:I221" si="376">SUM(J145:O145)</f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f t="shared" ref="P145:P221" si="377">SUM(Q145:R145)</f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f t="shared" ref="U145:U146" si="378">SUM(V145:AC145)</f>
        <v>0</v>
      </c>
      <c r="V145" s="19">
        <v>0</v>
      </c>
      <c r="W145" s="19">
        <v>0</v>
      </c>
      <c r="X145" s="19">
        <v>0</v>
      </c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19">
        <f>SUM(AF145:BA145)</f>
        <v>420196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9">
        <v>0</v>
      </c>
      <c r="AP145" s="19">
        <v>0</v>
      </c>
      <c r="AQ145" s="19"/>
      <c r="AR145" s="19">
        <v>0</v>
      </c>
      <c r="AS145" s="19">
        <v>0</v>
      </c>
      <c r="AT145" s="19">
        <v>0</v>
      </c>
      <c r="AU145" s="19">
        <v>0</v>
      </c>
      <c r="AV145" s="19">
        <v>0</v>
      </c>
      <c r="AW145" s="19">
        <v>0</v>
      </c>
      <c r="AX145" s="19">
        <v>0</v>
      </c>
      <c r="AY145" s="19">
        <v>0</v>
      </c>
      <c r="AZ145" s="19">
        <v>0</v>
      </c>
      <c r="BA145" s="23">
        <v>420196</v>
      </c>
      <c r="BB145" s="19">
        <f>SUM(BC145+BG145+BJ145+BL145+BO145)</f>
        <v>0</v>
      </c>
      <c r="BC145" s="19">
        <f>SUM(BD145:BF145)</f>
        <v>0</v>
      </c>
      <c r="BD145" s="19">
        <v>0</v>
      </c>
      <c r="BE145" s="19">
        <v>0</v>
      </c>
      <c r="BF145" s="19">
        <v>0</v>
      </c>
      <c r="BG145" s="19">
        <f>SUM(BI145:BI145)</f>
        <v>0</v>
      </c>
      <c r="BH145" s="19">
        <v>0</v>
      </c>
      <c r="BI145" s="19">
        <v>0</v>
      </c>
      <c r="BJ145" s="19">
        <v>0</v>
      </c>
      <c r="BK145" s="19">
        <v>0</v>
      </c>
      <c r="BL145" s="19">
        <f t="shared" ref="BL145:BL221" si="379">SUM(BM145)</f>
        <v>0</v>
      </c>
      <c r="BM145" s="19">
        <v>0</v>
      </c>
      <c r="BN145" s="19">
        <v>0</v>
      </c>
      <c r="BO145" s="19">
        <f>SUM(BP145:BZ145)</f>
        <v>0</v>
      </c>
      <c r="BP145" s="19">
        <v>0</v>
      </c>
      <c r="BQ145" s="19">
        <v>0</v>
      </c>
      <c r="BR145" s="19">
        <v>0</v>
      </c>
      <c r="BS145" s="19">
        <v>0</v>
      </c>
      <c r="BT145" s="19">
        <v>0</v>
      </c>
      <c r="BU145" s="19">
        <v>0</v>
      </c>
      <c r="BV145" s="19">
        <v>0</v>
      </c>
      <c r="BW145" s="19">
        <v>0</v>
      </c>
      <c r="BX145" s="19">
        <v>0</v>
      </c>
      <c r="BY145" s="19">
        <v>0</v>
      </c>
      <c r="BZ145" s="19">
        <v>0</v>
      </c>
      <c r="CA145" s="19">
        <f>SUM(CB145+CT145)</f>
        <v>0</v>
      </c>
      <c r="CB145" s="19">
        <f>SUM(CC145+CF145+CL145)</f>
        <v>0</v>
      </c>
      <c r="CC145" s="19">
        <f t="shared" ref="CC145:CC221" si="380">SUM(CD145:CE145)</f>
        <v>0</v>
      </c>
      <c r="CD145" s="19">
        <v>0</v>
      </c>
      <c r="CE145" s="19">
        <v>0</v>
      </c>
      <c r="CF145" s="19">
        <f t="shared" ref="CF145:CF146" si="381">SUM(CG145:CK145)</f>
        <v>0</v>
      </c>
      <c r="CG145" s="19">
        <v>0</v>
      </c>
      <c r="CH145" s="19">
        <v>0</v>
      </c>
      <c r="CI145" s="19">
        <v>0</v>
      </c>
      <c r="CJ145" s="19">
        <v>0</v>
      </c>
      <c r="CK145" s="19">
        <v>0</v>
      </c>
      <c r="CL145" s="19">
        <f>SUM(CM145:CQ145)</f>
        <v>0</v>
      </c>
      <c r="CM145" s="19">
        <v>0</v>
      </c>
      <c r="CN145" s="19">
        <v>0</v>
      </c>
      <c r="CO145" s="19">
        <v>0</v>
      </c>
      <c r="CP145" s="19"/>
      <c r="CQ145" s="19"/>
      <c r="CR145" s="19"/>
      <c r="CS145" s="19"/>
      <c r="CT145" s="19">
        <v>0</v>
      </c>
      <c r="CU145" s="19"/>
      <c r="CV145" s="19"/>
      <c r="CW145" s="19"/>
      <c r="CX145" s="19">
        <f t="shared" ref="CX145:CX221" si="382">SUM(CY145)</f>
        <v>0</v>
      </c>
      <c r="CY145" s="19">
        <f t="shared" ref="CY145:CY221" si="383">SUM(CZ145:DA145)</f>
        <v>0</v>
      </c>
      <c r="CZ145" s="19">
        <v>0</v>
      </c>
      <c r="DA145" s="20">
        <v>0</v>
      </c>
    </row>
    <row r="146" spans="1:106" ht="15.75" x14ac:dyDescent="0.25">
      <c r="A146" s="72" t="s">
        <v>1</v>
      </c>
      <c r="B146" s="21" t="s">
        <v>94</v>
      </c>
      <c r="C146" s="22" t="s">
        <v>246</v>
      </c>
      <c r="D146" s="18">
        <f>SUM(E146+CA146+CX146)</f>
        <v>209282</v>
      </c>
      <c r="E146" s="19">
        <f>SUM(F146+BB146)</f>
        <v>209282</v>
      </c>
      <c r="F146" s="19">
        <f t="shared" si="375"/>
        <v>209282</v>
      </c>
      <c r="G146" s="19">
        <v>0</v>
      </c>
      <c r="H146" s="19">
        <v>0</v>
      </c>
      <c r="I146" s="19">
        <f t="shared" si="376"/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f t="shared" si="377"/>
        <v>0</v>
      </c>
      <c r="Q146" s="19">
        <v>0</v>
      </c>
      <c r="R146" s="19">
        <v>0</v>
      </c>
      <c r="S146" s="19">
        <v>0</v>
      </c>
      <c r="T146" s="19">
        <v>0</v>
      </c>
      <c r="U146" s="19">
        <f t="shared" si="378"/>
        <v>0</v>
      </c>
      <c r="V146" s="19">
        <v>0</v>
      </c>
      <c r="W146" s="19">
        <v>0</v>
      </c>
      <c r="X146" s="19">
        <v>0</v>
      </c>
      <c r="Y146" s="19">
        <v>0</v>
      </c>
      <c r="Z146" s="19">
        <v>0</v>
      </c>
      <c r="AA146" s="19">
        <v>0</v>
      </c>
      <c r="AB146" s="19">
        <v>0</v>
      </c>
      <c r="AC146" s="19">
        <v>0</v>
      </c>
      <c r="AD146" s="19">
        <v>0</v>
      </c>
      <c r="AE146" s="19">
        <f>SUM(AF146:BA146)</f>
        <v>209282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/>
      <c r="AR146" s="19">
        <v>0</v>
      </c>
      <c r="AS146" s="19">
        <v>0</v>
      </c>
      <c r="AT146" s="19">
        <v>0</v>
      </c>
      <c r="AU146" s="19">
        <v>0</v>
      </c>
      <c r="AV146" s="19">
        <v>0</v>
      </c>
      <c r="AW146" s="19">
        <v>0</v>
      </c>
      <c r="AX146" s="19">
        <v>0</v>
      </c>
      <c r="AY146" s="19">
        <v>0</v>
      </c>
      <c r="AZ146" s="19">
        <v>0</v>
      </c>
      <c r="BA146" s="23">
        <v>209282</v>
      </c>
      <c r="BB146" s="19">
        <f>SUM(BC146+BG146+BJ146+BL146+BO146)</f>
        <v>0</v>
      </c>
      <c r="BC146" s="19">
        <f>SUM(BD146:BF146)</f>
        <v>0</v>
      </c>
      <c r="BD146" s="19">
        <v>0</v>
      </c>
      <c r="BE146" s="19">
        <v>0</v>
      </c>
      <c r="BF146" s="19">
        <v>0</v>
      </c>
      <c r="BG146" s="19">
        <f>SUM(BI146:BI146)</f>
        <v>0</v>
      </c>
      <c r="BH146" s="19">
        <v>0</v>
      </c>
      <c r="BI146" s="19">
        <v>0</v>
      </c>
      <c r="BJ146" s="19">
        <v>0</v>
      </c>
      <c r="BK146" s="19">
        <v>0</v>
      </c>
      <c r="BL146" s="19">
        <f t="shared" si="379"/>
        <v>0</v>
      </c>
      <c r="BM146" s="19">
        <v>0</v>
      </c>
      <c r="BN146" s="19">
        <v>0</v>
      </c>
      <c r="BO146" s="19">
        <f>SUM(BP146:BZ146)</f>
        <v>0</v>
      </c>
      <c r="BP146" s="19">
        <v>0</v>
      </c>
      <c r="BQ146" s="19">
        <v>0</v>
      </c>
      <c r="BR146" s="19">
        <v>0</v>
      </c>
      <c r="BS146" s="19">
        <v>0</v>
      </c>
      <c r="BT146" s="19">
        <v>0</v>
      </c>
      <c r="BU146" s="19">
        <v>0</v>
      </c>
      <c r="BV146" s="19">
        <v>0</v>
      </c>
      <c r="BW146" s="19">
        <v>0</v>
      </c>
      <c r="BX146" s="19">
        <v>0</v>
      </c>
      <c r="BY146" s="19">
        <v>0</v>
      </c>
      <c r="BZ146" s="19">
        <v>0</v>
      </c>
      <c r="CA146" s="19">
        <f>SUM(CB146+CT146)</f>
        <v>0</v>
      </c>
      <c r="CB146" s="19">
        <f>SUM(CC146+CF146+CL146)</f>
        <v>0</v>
      </c>
      <c r="CC146" s="19">
        <f t="shared" si="380"/>
        <v>0</v>
      </c>
      <c r="CD146" s="19">
        <v>0</v>
      </c>
      <c r="CE146" s="19">
        <v>0</v>
      </c>
      <c r="CF146" s="19">
        <f t="shared" si="381"/>
        <v>0</v>
      </c>
      <c r="CG146" s="19">
        <v>0</v>
      </c>
      <c r="CH146" s="19">
        <v>0</v>
      </c>
      <c r="CI146" s="19">
        <v>0</v>
      </c>
      <c r="CJ146" s="19">
        <v>0</v>
      </c>
      <c r="CK146" s="19">
        <v>0</v>
      </c>
      <c r="CL146" s="19">
        <f>SUM(CM146:CQ146)</f>
        <v>0</v>
      </c>
      <c r="CM146" s="19">
        <v>0</v>
      </c>
      <c r="CN146" s="19">
        <v>0</v>
      </c>
      <c r="CO146" s="19">
        <v>0</v>
      </c>
      <c r="CP146" s="19"/>
      <c r="CQ146" s="19"/>
      <c r="CR146" s="19"/>
      <c r="CS146" s="19"/>
      <c r="CT146" s="19">
        <v>0</v>
      </c>
      <c r="CU146" s="19"/>
      <c r="CV146" s="19"/>
      <c r="CW146" s="19"/>
      <c r="CX146" s="19">
        <f t="shared" si="382"/>
        <v>0</v>
      </c>
      <c r="CY146" s="19">
        <f t="shared" si="383"/>
        <v>0</v>
      </c>
      <c r="CZ146" s="19">
        <v>0</v>
      </c>
      <c r="DA146" s="20">
        <v>0</v>
      </c>
    </row>
    <row r="147" spans="1:106" s="86" customFormat="1" ht="31.5" x14ac:dyDescent="0.25">
      <c r="A147" s="71" t="s">
        <v>247</v>
      </c>
      <c r="B147" s="16" t="s">
        <v>1</v>
      </c>
      <c r="C147" s="17" t="s">
        <v>583</v>
      </c>
      <c r="D147" s="18">
        <f t="shared" ref="D147:AT147" si="384">SUM(D148:D152)</f>
        <v>14387772</v>
      </c>
      <c r="E147" s="18">
        <f t="shared" si="384"/>
        <v>13832874</v>
      </c>
      <c r="F147" s="18">
        <f t="shared" si="384"/>
        <v>13325370</v>
      </c>
      <c r="G147" s="18">
        <f t="shared" si="384"/>
        <v>8582906</v>
      </c>
      <c r="H147" s="18">
        <f t="shared" si="384"/>
        <v>2025362</v>
      </c>
      <c r="I147" s="18">
        <f t="shared" si="384"/>
        <v>1042367</v>
      </c>
      <c r="J147" s="18">
        <f t="shared" si="384"/>
        <v>20116</v>
      </c>
      <c r="K147" s="18">
        <f t="shared" si="384"/>
        <v>150000</v>
      </c>
      <c r="L147" s="18">
        <f t="shared" si="384"/>
        <v>0</v>
      </c>
      <c r="M147" s="18">
        <f t="shared" si="384"/>
        <v>0</v>
      </c>
      <c r="N147" s="18">
        <f t="shared" si="384"/>
        <v>552222</v>
      </c>
      <c r="O147" s="18">
        <f t="shared" si="384"/>
        <v>320029</v>
      </c>
      <c r="P147" s="18">
        <f t="shared" si="384"/>
        <v>0</v>
      </c>
      <c r="Q147" s="18">
        <f t="shared" si="384"/>
        <v>0</v>
      </c>
      <c r="R147" s="18">
        <f t="shared" si="384"/>
        <v>0</v>
      </c>
      <c r="S147" s="18">
        <f t="shared" si="384"/>
        <v>0</v>
      </c>
      <c r="T147" s="18">
        <f t="shared" si="384"/>
        <v>42036</v>
      </c>
      <c r="U147" s="18">
        <f t="shared" si="384"/>
        <v>258826</v>
      </c>
      <c r="V147" s="18">
        <f t="shared" si="384"/>
        <v>10773</v>
      </c>
      <c r="W147" s="18">
        <f t="shared" si="384"/>
        <v>153036</v>
      </c>
      <c r="X147" s="18">
        <f t="shared" si="384"/>
        <v>70079</v>
      </c>
      <c r="Y147" s="18">
        <f t="shared" si="384"/>
        <v>24938</v>
      </c>
      <c r="Z147" s="18">
        <f t="shared" si="384"/>
        <v>0</v>
      </c>
      <c r="AA147" s="18">
        <f t="shared" si="384"/>
        <v>0</v>
      </c>
      <c r="AB147" s="18">
        <f t="shared" si="384"/>
        <v>0</v>
      </c>
      <c r="AC147" s="18">
        <f t="shared" si="384"/>
        <v>0</v>
      </c>
      <c r="AD147" s="18">
        <f t="shared" ref="AD147" si="385">SUM(AD148:AD152)</f>
        <v>50918</v>
      </c>
      <c r="AE147" s="18">
        <f t="shared" si="384"/>
        <v>1322955</v>
      </c>
      <c r="AF147" s="18">
        <f t="shared" si="384"/>
        <v>0</v>
      </c>
      <c r="AG147" s="18">
        <f t="shared" si="384"/>
        <v>0</v>
      </c>
      <c r="AH147" s="18">
        <f t="shared" si="384"/>
        <v>571</v>
      </c>
      <c r="AI147" s="18">
        <f t="shared" si="384"/>
        <v>1434</v>
      </c>
      <c r="AJ147" s="18">
        <f t="shared" si="384"/>
        <v>0</v>
      </c>
      <c r="AK147" s="18">
        <f t="shared" si="384"/>
        <v>0</v>
      </c>
      <c r="AL147" s="18">
        <f t="shared" si="384"/>
        <v>0</v>
      </c>
      <c r="AM147" s="18">
        <f t="shared" si="384"/>
        <v>749</v>
      </c>
      <c r="AN147" s="18">
        <f t="shared" si="384"/>
        <v>4758</v>
      </c>
      <c r="AO147" s="18">
        <f t="shared" si="384"/>
        <v>0</v>
      </c>
      <c r="AP147" s="18">
        <f t="shared" si="384"/>
        <v>0</v>
      </c>
      <c r="AQ147" s="18"/>
      <c r="AR147" s="18">
        <f t="shared" si="384"/>
        <v>0</v>
      </c>
      <c r="AS147" s="18">
        <f t="shared" si="384"/>
        <v>67834</v>
      </c>
      <c r="AT147" s="18">
        <f t="shared" si="384"/>
        <v>38000</v>
      </c>
      <c r="AU147" s="18"/>
      <c r="AV147" s="18"/>
      <c r="AW147" s="18">
        <f>SUM(AW148:AW152)</f>
        <v>0</v>
      </c>
      <c r="AX147" s="18">
        <f>SUM(AX148:AX152)</f>
        <v>0</v>
      </c>
      <c r="AY147" s="18">
        <f>SUM(AY148:AY152)</f>
        <v>0</v>
      </c>
      <c r="AZ147" s="18"/>
      <c r="BA147" s="18">
        <f t="shared" ref="BA147:CO147" si="386">SUM(BA148:BA152)</f>
        <v>1209609</v>
      </c>
      <c r="BB147" s="18">
        <f t="shared" si="386"/>
        <v>507504</v>
      </c>
      <c r="BC147" s="18">
        <f t="shared" si="386"/>
        <v>0</v>
      </c>
      <c r="BD147" s="18">
        <f t="shared" si="386"/>
        <v>0</v>
      </c>
      <c r="BE147" s="18">
        <f t="shared" si="386"/>
        <v>0</v>
      </c>
      <c r="BF147" s="18">
        <f t="shared" si="386"/>
        <v>0</v>
      </c>
      <c r="BG147" s="18">
        <f t="shared" si="386"/>
        <v>0</v>
      </c>
      <c r="BH147" s="18">
        <f t="shared" si="386"/>
        <v>0</v>
      </c>
      <c r="BI147" s="18">
        <f t="shared" si="386"/>
        <v>0</v>
      </c>
      <c r="BJ147" s="18">
        <f t="shared" si="386"/>
        <v>0</v>
      </c>
      <c r="BK147" s="18">
        <f t="shared" ref="BK147" si="387">SUM(BK148:BK152)</f>
        <v>0</v>
      </c>
      <c r="BL147" s="18">
        <f t="shared" si="386"/>
        <v>0</v>
      </c>
      <c r="BM147" s="18">
        <f t="shared" si="386"/>
        <v>0</v>
      </c>
      <c r="BN147" s="18">
        <f t="shared" si="386"/>
        <v>0</v>
      </c>
      <c r="BO147" s="18">
        <f t="shared" si="386"/>
        <v>507504</v>
      </c>
      <c r="BP147" s="18">
        <f t="shared" si="386"/>
        <v>0</v>
      </c>
      <c r="BQ147" s="18">
        <f t="shared" si="386"/>
        <v>0</v>
      </c>
      <c r="BR147" s="18">
        <f t="shared" si="386"/>
        <v>507504</v>
      </c>
      <c r="BS147" s="18">
        <f t="shared" si="386"/>
        <v>0</v>
      </c>
      <c r="BT147" s="18">
        <f t="shared" si="386"/>
        <v>0</v>
      </c>
      <c r="BU147" s="18">
        <f t="shared" si="386"/>
        <v>0</v>
      </c>
      <c r="BV147" s="18">
        <f t="shared" si="386"/>
        <v>0</v>
      </c>
      <c r="BW147" s="18">
        <f t="shared" si="386"/>
        <v>0</v>
      </c>
      <c r="BX147" s="18">
        <f t="shared" si="386"/>
        <v>0</v>
      </c>
      <c r="BY147" s="18">
        <f t="shared" si="386"/>
        <v>0</v>
      </c>
      <c r="BZ147" s="18">
        <f t="shared" si="386"/>
        <v>0</v>
      </c>
      <c r="CA147" s="18">
        <f t="shared" si="386"/>
        <v>554898</v>
      </c>
      <c r="CB147" s="18">
        <f t="shared" si="386"/>
        <v>554898</v>
      </c>
      <c r="CC147" s="18">
        <f t="shared" si="386"/>
        <v>554898</v>
      </c>
      <c r="CD147" s="18">
        <f t="shared" si="386"/>
        <v>0</v>
      </c>
      <c r="CE147" s="18">
        <f t="shared" si="386"/>
        <v>554898</v>
      </c>
      <c r="CF147" s="18">
        <f t="shared" si="386"/>
        <v>0</v>
      </c>
      <c r="CG147" s="18">
        <f t="shared" si="386"/>
        <v>0</v>
      </c>
      <c r="CH147" s="18">
        <f t="shared" si="386"/>
        <v>0</v>
      </c>
      <c r="CI147" s="18">
        <f t="shared" si="386"/>
        <v>0</v>
      </c>
      <c r="CJ147" s="18">
        <f t="shared" si="386"/>
        <v>0</v>
      </c>
      <c r="CK147" s="18">
        <f t="shared" si="386"/>
        <v>0</v>
      </c>
      <c r="CL147" s="18">
        <f t="shared" si="386"/>
        <v>0</v>
      </c>
      <c r="CM147" s="18">
        <f t="shared" si="386"/>
        <v>0</v>
      </c>
      <c r="CN147" s="18">
        <f t="shared" si="386"/>
        <v>0</v>
      </c>
      <c r="CO147" s="18">
        <f t="shared" si="386"/>
        <v>0</v>
      </c>
      <c r="CP147" s="18"/>
      <c r="CQ147" s="18"/>
      <c r="CR147" s="18"/>
      <c r="CS147" s="18"/>
      <c r="CT147" s="18">
        <f>SUM(CT148:CT152)</f>
        <v>0</v>
      </c>
      <c r="CU147" s="18"/>
      <c r="CV147" s="18"/>
      <c r="CW147" s="18"/>
      <c r="CX147" s="18">
        <f>SUM(CX148:CX152)</f>
        <v>0</v>
      </c>
      <c r="CY147" s="18">
        <f>SUM(CY148:CY152)</f>
        <v>0</v>
      </c>
      <c r="CZ147" s="18">
        <f>SUM(CZ148:CZ152)</f>
        <v>0</v>
      </c>
      <c r="DA147" s="46">
        <f>SUM(DA148:DA152)</f>
        <v>0</v>
      </c>
      <c r="DB147" s="85"/>
    </row>
    <row r="148" spans="1:106" ht="15.75" x14ac:dyDescent="0.25">
      <c r="A148" s="72" t="s">
        <v>1</v>
      </c>
      <c r="B148" s="21" t="s">
        <v>82</v>
      </c>
      <c r="C148" s="22" t="s">
        <v>551</v>
      </c>
      <c r="D148" s="18">
        <f>SUM(E148+CA148+CX148)</f>
        <v>4648976</v>
      </c>
      <c r="E148" s="19">
        <f>SUM(F148+BB148)</f>
        <v>4631091</v>
      </c>
      <c r="F148" s="19">
        <f t="shared" ref="F148:F152" si="388">SUM(G148+H148+I148+P148+S148+T148+U148+AE148)</f>
        <v>4123587</v>
      </c>
      <c r="G148" s="23">
        <f>2447737+560940</f>
        <v>3008677</v>
      </c>
      <c r="H148" s="23">
        <f>587129+134550</f>
        <v>721679</v>
      </c>
      <c r="I148" s="19">
        <f t="shared" si="376"/>
        <v>150927</v>
      </c>
      <c r="J148" s="23">
        <v>0</v>
      </c>
      <c r="K148" s="23">
        <v>0</v>
      </c>
      <c r="L148" s="23">
        <v>0</v>
      </c>
      <c r="M148" s="23">
        <v>0</v>
      </c>
      <c r="N148" s="23">
        <f>32757+113519</f>
        <v>146276</v>
      </c>
      <c r="O148" s="23">
        <v>4651</v>
      </c>
      <c r="P148" s="19">
        <f t="shared" si="377"/>
        <v>0</v>
      </c>
      <c r="Q148" s="23"/>
      <c r="R148" s="23"/>
      <c r="S148" s="23"/>
      <c r="T148" s="23">
        <v>14299</v>
      </c>
      <c r="U148" s="19">
        <f t="shared" ref="U148:U152" si="389">SUM(V148:AC148)</f>
        <v>139524</v>
      </c>
      <c r="V148" s="23">
        <f>5773+5000</f>
        <v>10773</v>
      </c>
      <c r="W148" s="23">
        <f>73201+228</f>
        <v>73429</v>
      </c>
      <c r="X148" s="23">
        <f>24794+8740</f>
        <v>33534</v>
      </c>
      <c r="Y148" s="23">
        <f>5931+15857</f>
        <v>21788</v>
      </c>
      <c r="Z148" s="23">
        <v>0</v>
      </c>
      <c r="AA148" s="23">
        <v>0</v>
      </c>
      <c r="AB148" s="23">
        <v>0</v>
      </c>
      <c r="AC148" s="23">
        <v>0</v>
      </c>
      <c r="AD148" s="19">
        <v>0</v>
      </c>
      <c r="AE148" s="19">
        <f>SUM(AF148:BA148)</f>
        <v>88481</v>
      </c>
      <c r="AF148" s="19">
        <v>0</v>
      </c>
      <c r="AG148" s="19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1200</v>
      </c>
      <c r="AO148" s="23">
        <v>0</v>
      </c>
      <c r="AP148" s="23">
        <v>0</v>
      </c>
      <c r="AQ148" s="23"/>
      <c r="AR148" s="23">
        <v>0</v>
      </c>
      <c r="AS148" s="23">
        <v>47019</v>
      </c>
      <c r="AT148" s="23">
        <f>14000+24000</f>
        <v>38000</v>
      </c>
      <c r="AU148" s="23">
        <v>0</v>
      </c>
      <c r="AV148" s="23">
        <v>0</v>
      </c>
      <c r="AW148" s="23">
        <v>0</v>
      </c>
      <c r="AX148" s="23">
        <v>0</v>
      </c>
      <c r="AY148" s="23">
        <v>0</v>
      </c>
      <c r="AZ148" s="23">
        <v>0</v>
      </c>
      <c r="BA148" s="23">
        <f>2262</f>
        <v>2262</v>
      </c>
      <c r="BB148" s="19">
        <f>SUM(BC148+BG148+BJ148+BL148+BO148)</f>
        <v>507504</v>
      </c>
      <c r="BC148" s="19">
        <f t="shared" ref="BC148:BC152" si="390">SUM(BD148:BF148)</f>
        <v>0</v>
      </c>
      <c r="BD148" s="19">
        <v>0</v>
      </c>
      <c r="BE148" s="19">
        <v>0</v>
      </c>
      <c r="BF148" s="19">
        <v>0</v>
      </c>
      <c r="BG148" s="19">
        <f t="shared" ref="BG148:BG152" si="391">SUM(BI148:BI148)</f>
        <v>0</v>
      </c>
      <c r="BH148" s="19">
        <v>0</v>
      </c>
      <c r="BI148" s="19">
        <v>0</v>
      </c>
      <c r="BJ148" s="19">
        <v>0</v>
      </c>
      <c r="BK148" s="19">
        <v>0</v>
      </c>
      <c r="BL148" s="19">
        <f t="shared" si="379"/>
        <v>0</v>
      </c>
      <c r="BM148" s="19">
        <v>0</v>
      </c>
      <c r="BN148" s="19">
        <v>0</v>
      </c>
      <c r="BO148" s="19">
        <f t="shared" ref="BO148:BO152" si="392">SUM(BP148:BZ148)</f>
        <v>507504</v>
      </c>
      <c r="BP148" s="19">
        <v>0</v>
      </c>
      <c r="BQ148" s="19">
        <v>0</v>
      </c>
      <c r="BR148" s="23">
        <v>507504</v>
      </c>
      <c r="BS148" s="19">
        <v>0</v>
      </c>
      <c r="BT148" s="19">
        <v>0</v>
      </c>
      <c r="BU148" s="19">
        <v>0</v>
      </c>
      <c r="BV148" s="19">
        <v>0</v>
      </c>
      <c r="BW148" s="19">
        <v>0</v>
      </c>
      <c r="BX148" s="19">
        <v>0</v>
      </c>
      <c r="BY148" s="19">
        <v>0</v>
      </c>
      <c r="BZ148" s="19">
        <v>0</v>
      </c>
      <c r="CA148" s="19">
        <f>SUM(CB148+CT148)</f>
        <v>17885</v>
      </c>
      <c r="CB148" s="19">
        <f>SUM(CC148+CF148+CL148)</f>
        <v>17885</v>
      </c>
      <c r="CC148" s="19">
        <f t="shared" si="380"/>
        <v>17885</v>
      </c>
      <c r="CD148" s="19">
        <v>0</v>
      </c>
      <c r="CE148" s="23">
        <v>17885</v>
      </c>
      <c r="CF148" s="19">
        <f t="shared" ref="CF148:CF152" si="393">SUM(CG148:CK148)</f>
        <v>0</v>
      </c>
      <c r="CG148" s="19">
        <v>0</v>
      </c>
      <c r="CH148" s="19">
        <v>0</v>
      </c>
      <c r="CI148" s="19">
        <v>0</v>
      </c>
      <c r="CJ148" s="19">
        <v>0</v>
      </c>
      <c r="CK148" s="19">
        <v>0</v>
      </c>
      <c r="CL148" s="19">
        <f t="shared" ref="CL148:CL152" si="394">SUM(CM148:CQ148)</f>
        <v>0</v>
      </c>
      <c r="CM148" s="19">
        <v>0</v>
      </c>
      <c r="CN148" s="19">
        <v>0</v>
      </c>
      <c r="CO148" s="19">
        <v>0</v>
      </c>
      <c r="CP148" s="19"/>
      <c r="CQ148" s="19"/>
      <c r="CR148" s="19"/>
      <c r="CS148" s="19"/>
      <c r="CT148" s="19">
        <v>0</v>
      </c>
      <c r="CU148" s="19"/>
      <c r="CV148" s="19"/>
      <c r="CW148" s="19"/>
      <c r="CX148" s="19">
        <f t="shared" si="382"/>
        <v>0</v>
      </c>
      <c r="CY148" s="19">
        <f t="shared" si="383"/>
        <v>0</v>
      </c>
      <c r="CZ148" s="19">
        <v>0</v>
      </c>
      <c r="DA148" s="20">
        <v>0</v>
      </c>
    </row>
    <row r="149" spans="1:106" ht="15.75" x14ac:dyDescent="0.25">
      <c r="A149" s="72" t="s">
        <v>1</v>
      </c>
      <c r="B149" s="21" t="s">
        <v>94</v>
      </c>
      <c r="C149" s="22" t="s">
        <v>248</v>
      </c>
      <c r="D149" s="18">
        <f>SUM(E149+CA149+CX149)</f>
        <v>5622755</v>
      </c>
      <c r="E149" s="19">
        <f>SUM(F149+BB149)</f>
        <v>5103131</v>
      </c>
      <c r="F149" s="19">
        <f>SUM(G149+H149+I149+P149+S149+T149+U149+AE149+AD149)</f>
        <v>5103131</v>
      </c>
      <c r="G149" s="23">
        <f>2537654+581546</f>
        <v>3119200</v>
      </c>
      <c r="H149" s="23">
        <f>591619+135579</f>
        <v>727198</v>
      </c>
      <c r="I149" s="19">
        <f>SUM(J149:O149)</f>
        <v>867529</v>
      </c>
      <c r="J149" s="23">
        <v>11414</v>
      </c>
      <c r="K149" s="23">
        <v>150000</v>
      </c>
      <c r="L149" s="23">
        <v>0</v>
      </c>
      <c r="M149" s="23">
        <v>0</v>
      </c>
      <c r="N149" s="23">
        <f>345946+60000</f>
        <v>405946</v>
      </c>
      <c r="O149" s="23">
        <f>224218+75951</f>
        <v>300169</v>
      </c>
      <c r="P149" s="19">
        <f>SUM(Q149:R149)</f>
        <v>0</v>
      </c>
      <c r="Q149" s="23"/>
      <c r="R149" s="23"/>
      <c r="S149" s="23"/>
      <c r="T149" s="23">
        <v>22428</v>
      </c>
      <c r="U149" s="19">
        <f t="shared" si="389"/>
        <v>119302</v>
      </c>
      <c r="V149" s="23">
        <v>0</v>
      </c>
      <c r="W149" s="23">
        <f>93407-13800</f>
        <v>79607</v>
      </c>
      <c r="X149" s="23">
        <f>100460-63915</f>
        <v>36545</v>
      </c>
      <c r="Y149" s="23">
        <f>49979-46829</f>
        <v>3150</v>
      </c>
      <c r="Z149" s="23">
        <v>0</v>
      </c>
      <c r="AA149" s="23">
        <v>0</v>
      </c>
      <c r="AB149" s="23">
        <v>0</v>
      </c>
      <c r="AC149" s="23">
        <v>0</v>
      </c>
      <c r="AD149" s="19">
        <f>0+50918</f>
        <v>50918</v>
      </c>
      <c r="AE149" s="19">
        <f>SUM(AF149:BA149)</f>
        <v>196556</v>
      </c>
      <c r="AF149" s="19">
        <v>0</v>
      </c>
      <c r="AG149" s="19">
        <v>0</v>
      </c>
      <c r="AH149" s="23">
        <v>0</v>
      </c>
      <c r="AI149" s="23">
        <v>1434</v>
      </c>
      <c r="AJ149" s="23">
        <v>0</v>
      </c>
      <c r="AK149" s="23">
        <v>0</v>
      </c>
      <c r="AL149" s="23">
        <v>0</v>
      </c>
      <c r="AM149" s="23">
        <v>749</v>
      </c>
      <c r="AN149" s="23">
        <v>3558</v>
      </c>
      <c r="AO149" s="23">
        <v>0</v>
      </c>
      <c r="AP149" s="23">
        <v>0</v>
      </c>
      <c r="AQ149" s="23"/>
      <c r="AR149" s="23">
        <v>0</v>
      </c>
      <c r="AS149" s="23">
        <f>57873-37058</f>
        <v>20815</v>
      </c>
      <c r="AT149" s="23">
        <v>0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0</v>
      </c>
      <c r="BA149" s="23">
        <v>170000</v>
      </c>
      <c r="BB149" s="19">
        <f>SUM(BC149+BG149+BJ149+BL149+BO149)</f>
        <v>0</v>
      </c>
      <c r="BC149" s="19">
        <f t="shared" si="390"/>
        <v>0</v>
      </c>
      <c r="BD149" s="19">
        <v>0</v>
      </c>
      <c r="BE149" s="19">
        <v>0</v>
      </c>
      <c r="BF149" s="19">
        <v>0</v>
      </c>
      <c r="BG149" s="19">
        <f t="shared" si="391"/>
        <v>0</v>
      </c>
      <c r="BH149" s="19">
        <v>0</v>
      </c>
      <c r="BI149" s="19">
        <v>0</v>
      </c>
      <c r="BJ149" s="19">
        <v>0</v>
      </c>
      <c r="BK149" s="19">
        <v>0</v>
      </c>
      <c r="BL149" s="19">
        <f>SUM(BM149)</f>
        <v>0</v>
      </c>
      <c r="BM149" s="19">
        <v>0</v>
      </c>
      <c r="BN149" s="19">
        <v>0</v>
      </c>
      <c r="BO149" s="19">
        <f t="shared" si="392"/>
        <v>0</v>
      </c>
      <c r="BP149" s="19">
        <v>0</v>
      </c>
      <c r="BQ149" s="19">
        <v>0</v>
      </c>
      <c r="BR149" s="19">
        <v>0</v>
      </c>
      <c r="BS149" s="19">
        <v>0</v>
      </c>
      <c r="BT149" s="19">
        <v>0</v>
      </c>
      <c r="BU149" s="19">
        <v>0</v>
      </c>
      <c r="BV149" s="19">
        <v>0</v>
      </c>
      <c r="BW149" s="19">
        <v>0</v>
      </c>
      <c r="BX149" s="19">
        <v>0</v>
      </c>
      <c r="BY149" s="19">
        <v>0</v>
      </c>
      <c r="BZ149" s="19">
        <v>0</v>
      </c>
      <c r="CA149" s="19">
        <f>SUM(CB149+CT149)</f>
        <v>519624</v>
      </c>
      <c r="CB149" s="19">
        <f>SUM(CC149+CF149+CL149)</f>
        <v>519624</v>
      </c>
      <c r="CC149" s="19">
        <f>SUM(CD149:CE149)</f>
        <v>519624</v>
      </c>
      <c r="CD149" s="19">
        <v>0</v>
      </c>
      <c r="CE149" s="23">
        <f>669435-149811</f>
        <v>519624</v>
      </c>
      <c r="CF149" s="19">
        <f t="shared" si="393"/>
        <v>0</v>
      </c>
      <c r="CG149" s="19">
        <v>0</v>
      </c>
      <c r="CH149" s="19">
        <v>0</v>
      </c>
      <c r="CI149" s="19">
        <v>0</v>
      </c>
      <c r="CJ149" s="19">
        <v>0</v>
      </c>
      <c r="CK149" s="19">
        <v>0</v>
      </c>
      <c r="CL149" s="19">
        <f t="shared" si="394"/>
        <v>0</v>
      </c>
      <c r="CM149" s="19">
        <v>0</v>
      </c>
      <c r="CN149" s="19">
        <v>0</v>
      </c>
      <c r="CO149" s="19">
        <v>0</v>
      </c>
      <c r="CP149" s="19"/>
      <c r="CQ149" s="19"/>
      <c r="CR149" s="19"/>
      <c r="CS149" s="19"/>
      <c r="CT149" s="19">
        <v>0</v>
      </c>
      <c r="CU149" s="19"/>
      <c r="CV149" s="19"/>
      <c r="CW149" s="19"/>
      <c r="CX149" s="19">
        <f>SUM(CY149)</f>
        <v>0</v>
      </c>
      <c r="CY149" s="19">
        <f>SUM(CZ149:DA149)</f>
        <v>0</v>
      </c>
      <c r="CZ149" s="19">
        <v>0</v>
      </c>
      <c r="DA149" s="20">
        <v>0</v>
      </c>
    </row>
    <row r="150" spans="1:106" ht="15.75" x14ac:dyDescent="0.25">
      <c r="A150" s="72" t="s">
        <v>1</v>
      </c>
      <c r="B150" s="21" t="s">
        <v>94</v>
      </c>
      <c r="C150" s="22" t="s">
        <v>249</v>
      </c>
      <c r="D150" s="18">
        <f>SUM(E150+CA150+CX150)</f>
        <v>3094833</v>
      </c>
      <c r="E150" s="19">
        <f>SUM(F150+BB150)</f>
        <v>3094833</v>
      </c>
      <c r="F150" s="19">
        <f t="shared" si="388"/>
        <v>3094833</v>
      </c>
      <c r="G150" s="23">
        <v>2244413</v>
      </c>
      <c r="H150" s="23">
        <v>523830</v>
      </c>
      <c r="I150" s="19">
        <f t="shared" si="376"/>
        <v>13633</v>
      </c>
      <c r="J150" s="23">
        <v>8702</v>
      </c>
      <c r="K150" s="23">
        <v>0</v>
      </c>
      <c r="L150" s="23">
        <v>0</v>
      </c>
      <c r="M150" s="23">
        <v>0</v>
      </c>
      <c r="N150" s="23">
        <v>0</v>
      </c>
      <c r="O150" s="23">
        <v>4931</v>
      </c>
      <c r="P150" s="19">
        <f t="shared" si="377"/>
        <v>0</v>
      </c>
      <c r="Q150" s="23"/>
      <c r="R150" s="23"/>
      <c r="S150" s="23"/>
      <c r="T150" s="23">
        <v>5309</v>
      </c>
      <c r="U150" s="19">
        <f t="shared" si="389"/>
        <v>0</v>
      </c>
      <c r="V150" s="23">
        <v>0</v>
      </c>
      <c r="W150" s="23">
        <v>0</v>
      </c>
      <c r="X150" s="23">
        <v>0</v>
      </c>
      <c r="Y150" s="23">
        <v>0</v>
      </c>
      <c r="Z150" s="23">
        <v>0</v>
      </c>
      <c r="AA150" s="23">
        <v>0</v>
      </c>
      <c r="AB150" s="23">
        <v>0</v>
      </c>
      <c r="AC150" s="23">
        <v>0</v>
      </c>
      <c r="AD150" s="19">
        <v>0</v>
      </c>
      <c r="AE150" s="19">
        <f>SUM(AF150:BA150)</f>
        <v>307648</v>
      </c>
      <c r="AF150" s="19">
        <v>0</v>
      </c>
      <c r="AG150" s="19">
        <v>0</v>
      </c>
      <c r="AH150" s="23">
        <v>571</v>
      </c>
      <c r="AI150" s="23">
        <v>0</v>
      </c>
      <c r="AJ150" s="23">
        <v>0</v>
      </c>
      <c r="AK150" s="23">
        <v>0</v>
      </c>
      <c r="AL150" s="23">
        <v>0</v>
      </c>
      <c r="AM150" s="23">
        <v>0</v>
      </c>
      <c r="AN150" s="23">
        <v>0</v>
      </c>
      <c r="AO150" s="23">
        <v>0</v>
      </c>
      <c r="AP150" s="23">
        <v>0</v>
      </c>
      <c r="AQ150" s="23"/>
      <c r="AR150" s="23">
        <v>0</v>
      </c>
      <c r="AS150" s="23">
        <v>0</v>
      </c>
      <c r="AT150" s="23">
        <v>0</v>
      </c>
      <c r="AU150" s="23">
        <v>0</v>
      </c>
      <c r="AV150" s="23">
        <v>0</v>
      </c>
      <c r="AW150" s="23">
        <v>0</v>
      </c>
      <c r="AX150" s="23">
        <v>0</v>
      </c>
      <c r="AY150" s="23">
        <v>0</v>
      </c>
      <c r="AZ150" s="23">
        <v>0</v>
      </c>
      <c r="BA150" s="23">
        <v>307077</v>
      </c>
      <c r="BB150" s="19">
        <f>SUM(BC150+BG150+BJ150+BL150+BO150)</f>
        <v>0</v>
      </c>
      <c r="BC150" s="19">
        <f t="shared" si="390"/>
        <v>0</v>
      </c>
      <c r="BD150" s="19">
        <v>0</v>
      </c>
      <c r="BE150" s="19">
        <v>0</v>
      </c>
      <c r="BF150" s="19">
        <v>0</v>
      </c>
      <c r="BG150" s="19">
        <f t="shared" si="391"/>
        <v>0</v>
      </c>
      <c r="BH150" s="19">
        <v>0</v>
      </c>
      <c r="BI150" s="19">
        <v>0</v>
      </c>
      <c r="BJ150" s="19">
        <v>0</v>
      </c>
      <c r="BK150" s="19">
        <v>0</v>
      </c>
      <c r="BL150" s="19">
        <f t="shared" si="379"/>
        <v>0</v>
      </c>
      <c r="BM150" s="19">
        <v>0</v>
      </c>
      <c r="BN150" s="19">
        <v>0</v>
      </c>
      <c r="BO150" s="19">
        <f t="shared" si="392"/>
        <v>0</v>
      </c>
      <c r="BP150" s="19">
        <v>0</v>
      </c>
      <c r="BQ150" s="19">
        <v>0</v>
      </c>
      <c r="BR150" s="19">
        <v>0</v>
      </c>
      <c r="BS150" s="19">
        <v>0</v>
      </c>
      <c r="BT150" s="19">
        <v>0</v>
      </c>
      <c r="BU150" s="19">
        <v>0</v>
      </c>
      <c r="BV150" s="19">
        <v>0</v>
      </c>
      <c r="BW150" s="19">
        <v>0</v>
      </c>
      <c r="BX150" s="19">
        <v>0</v>
      </c>
      <c r="BY150" s="19">
        <v>0</v>
      </c>
      <c r="BZ150" s="19">
        <v>0</v>
      </c>
      <c r="CA150" s="19">
        <f>SUM(CB150+CT150)</f>
        <v>0</v>
      </c>
      <c r="CB150" s="19">
        <f>SUM(CC150+CF150+CL150)</f>
        <v>0</v>
      </c>
      <c r="CC150" s="19">
        <f t="shared" si="380"/>
        <v>0</v>
      </c>
      <c r="CD150" s="19">
        <v>0</v>
      </c>
      <c r="CE150" s="23">
        <v>0</v>
      </c>
      <c r="CF150" s="19">
        <f t="shared" si="393"/>
        <v>0</v>
      </c>
      <c r="CG150" s="19">
        <v>0</v>
      </c>
      <c r="CH150" s="19">
        <v>0</v>
      </c>
      <c r="CI150" s="19">
        <v>0</v>
      </c>
      <c r="CJ150" s="19">
        <v>0</v>
      </c>
      <c r="CK150" s="19">
        <v>0</v>
      </c>
      <c r="CL150" s="19">
        <f t="shared" si="394"/>
        <v>0</v>
      </c>
      <c r="CM150" s="19">
        <v>0</v>
      </c>
      <c r="CN150" s="19">
        <v>0</v>
      </c>
      <c r="CO150" s="19">
        <v>0</v>
      </c>
      <c r="CP150" s="19"/>
      <c r="CQ150" s="19"/>
      <c r="CR150" s="19"/>
      <c r="CS150" s="19"/>
      <c r="CT150" s="19">
        <v>0</v>
      </c>
      <c r="CU150" s="19"/>
      <c r="CV150" s="19"/>
      <c r="CW150" s="19"/>
      <c r="CX150" s="19">
        <f t="shared" si="382"/>
        <v>0</v>
      </c>
      <c r="CY150" s="19">
        <f t="shared" si="383"/>
        <v>0</v>
      </c>
      <c r="CZ150" s="19">
        <v>0</v>
      </c>
      <c r="DA150" s="20">
        <v>0</v>
      </c>
    </row>
    <row r="151" spans="1:106" ht="15.75" x14ac:dyDescent="0.25">
      <c r="A151" s="72" t="s">
        <v>1</v>
      </c>
      <c r="B151" s="21" t="s">
        <v>96</v>
      </c>
      <c r="C151" s="22" t="s">
        <v>486</v>
      </c>
      <c r="D151" s="18">
        <f>SUM(E151+CA151+CX151)</f>
        <v>290938</v>
      </c>
      <c r="E151" s="19">
        <f>SUM(F151+BB151)</f>
        <v>273549</v>
      </c>
      <c r="F151" s="19">
        <f t="shared" si="388"/>
        <v>273549</v>
      </c>
      <c r="G151" s="23">
        <v>210616</v>
      </c>
      <c r="H151" s="23">
        <v>52655</v>
      </c>
      <c r="I151" s="19">
        <f>SUM(J151:O151)</f>
        <v>10278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10278</v>
      </c>
      <c r="P151" s="19">
        <f>SUM(Q151:R151)</f>
        <v>0</v>
      </c>
      <c r="Q151" s="23">
        <v>0</v>
      </c>
      <c r="R151" s="23">
        <v>0</v>
      </c>
      <c r="S151" s="23">
        <v>0</v>
      </c>
      <c r="T151" s="23">
        <v>0</v>
      </c>
      <c r="U151" s="19">
        <f t="shared" si="389"/>
        <v>0</v>
      </c>
      <c r="V151" s="23">
        <v>0</v>
      </c>
      <c r="W151" s="23">
        <v>0</v>
      </c>
      <c r="X151" s="23">
        <v>0</v>
      </c>
      <c r="Y151" s="23">
        <v>0</v>
      </c>
      <c r="Z151" s="23">
        <v>0</v>
      </c>
      <c r="AA151" s="23">
        <v>0</v>
      </c>
      <c r="AB151" s="23">
        <v>0</v>
      </c>
      <c r="AC151" s="23">
        <v>0</v>
      </c>
      <c r="AD151" s="19">
        <v>0</v>
      </c>
      <c r="AE151" s="19">
        <f>SUM(AF151:BA151)</f>
        <v>0</v>
      </c>
      <c r="AF151" s="19">
        <v>0</v>
      </c>
      <c r="AG151" s="19">
        <v>0</v>
      </c>
      <c r="AH151" s="23">
        <v>0</v>
      </c>
      <c r="AI151" s="23">
        <v>0</v>
      </c>
      <c r="AJ151" s="23">
        <v>0</v>
      </c>
      <c r="AK151" s="23">
        <v>0</v>
      </c>
      <c r="AL151" s="23">
        <v>0</v>
      </c>
      <c r="AM151" s="23">
        <v>0</v>
      </c>
      <c r="AN151" s="23">
        <v>0</v>
      </c>
      <c r="AO151" s="23">
        <v>0</v>
      </c>
      <c r="AP151" s="23">
        <v>0</v>
      </c>
      <c r="AQ151" s="23"/>
      <c r="AR151" s="23">
        <v>0</v>
      </c>
      <c r="AS151" s="23">
        <v>0</v>
      </c>
      <c r="AT151" s="23">
        <v>0</v>
      </c>
      <c r="AU151" s="23">
        <v>0</v>
      </c>
      <c r="AV151" s="23">
        <v>0</v>
      </c>
      <c r="AW151" s="23">
        <v>0</v>
      </c>
      <c r="AX151" s="23">
        <v>0</v>
      </c>
      <c r="AY151" s="23">
        <v>0</v>
      </c>
      <c r="AZ151" s="23">
        <v>0</v>
      </c>
      <c r="BA151" s="23">
        <v>0</v>
      </c>
      <c r="BB151" s="19">
        <f>SUM(BC151+BG151+BJ151+BL151+BO151)</f>
        <v>0</v>
      </c>
      <c r="BC151" s="19">
        <f>SUM(BD151:BF151)</f>
        <v>0</v>
      </c>
      <c r="BD151" s="19">
        <v>0</v>
      </c>
      <c r="BE151" s="19">
        <v>0</v>
      </c>
      <c r="BF151" s="19">
        <v>0</v>
      </c>
      <c r="BG151" s="19">
        <f t="shared" si="391"/>
        <v>0</v>
      </c>
      <c r="BH151" s="19">
        <v>0</v>
      </c>
      <c r="BI151" s="19">
        <v>0</v>
      </c>
      <c r="BJ151" s="19">
        <v>0</v>
      </c>
      <c r="BK151" s="19">
        <v>0</v>
      </c>
      <c r="BL151" s="19">
        <f>SUM(BM151)</f>
        <v>0</v>
      </c>
      <c r="BM151" s="19">
        <v>0</v>
      </c>
      <c r="BN151" s="19">
        <v>0</v>
      </c>
      <c r="BO151" s="19">
        <f t="shared" si="392"/>
        <v>0</v>
      </c>
      <c r="BP151" s="19">
        <v>0</v>
      </c>
      <c r="BQ151" s="19">
        <v>0</v>
      </c>
      <c r="BR151" s="19">
        <v>0</v>
      </c>
      <c r="BS151" s="19">
        <v>0</v>
      </c>
      <c r="BT151" s="19">
        <v>0</v>
      </c>
      <c r="BU151" s="19">
        <v>0</v>
      </c>
      <c r="BV151" s="19">
        <v>0</v>
      </c>
      <c r="BW151" s="19">
        <v>0</v>
      </c>
      <c r="BX151" s="19">
        <v>0</v>
      </c>
      <c r="BY151" s="19">
        <v>0</v>
      </c>
      <c r="BZ151" s="19">
        <v>0</v>
      </c>
      <c r="CA151" s="19">
        <f>SUM(CB151+CT151)</f>
        <v>17389</v>
      </c>
      <c r="CB151" s="19">
        <f>SUM(CC151+CF151+CL151)</f>
        <v>17389</v>
      </c>
      <c r="CC151" s="19">
        <f>SUM(CD151:CE151)</f>
        <v>17389</v>
      </c>
      <c r="CD151" s="19">
        <v>0</v>
      </c>
      <c r="CE151" s="23">
        <v>17389</v>
      </c>
      <c r="CF151" s="19">
        <f t="shared" si="393"/>
        <v>0</v>
      </c>
      <c r="CG151" s="19">
        <v>0</v>
      </c>
      <c r="CH151" s="19">
        <v>0</v>
      </c>
      <c r="CI151" s="19">
        <v>0</v>
      </c>
      <c r="CJ151" s="19">
        <v>0</v>
      </c>
      <c r="CK151" s="19">
        <v>0</v>
      </c>
      <c r="CL151" s="19">
        <f t="shared" si="394"/>
        <v>0</v>
      </c>
      <c r="CM151" s="19">
        <v>0</v>
      </c>
      <c r="CN151" s="19">
        <v>0</v>
      </c>
      <c r="CO151" s="19">
        <v>0</v>
      </c>
      <c r="CP151" s="19"/>
      <c r="CQ151" s="19"/>
      <c r="CR151" s="19"/>
      <c r="CS151" s="19"/>
      <c r="CT151" s="19">
        <v>0</v>
      </c>
      <c r="CU151" s="19"/>
      <c r="CV151" s="19"/>
      <c r="CW151" s="19"/>
      <c r="CX151" s="19">
        <f>SUM(CY151)</f>
        <v>0</v>
      </c>
      <c r="CY151" s="19">
        <f>SUM(CZ151:DA151)</f>
        <v>0</v>
      </c>
      <c r="CZ151" s="19">
        <v>0</v>
      </c>
      <c r="DA151" s="20">
        <v>0</v>
      </c>
    </row>
    <row r="152" spans="1:106" ht="31.5" x14ac:dyDescent="0.25">
      <c r="A152" s="72" t="s">
        <v>1</v>
      </c>
      <c r="B152" s="21" t="s">
        <v>96</v>
      </c>
      <c r="C152" s="22" t="s">
        <v>533</v>
      </c>
      <c r="D152" s="18">
        <f>SUM(E152+CA152+CX152)</f>
        <v>730270</v>
      </c>
      <c r="E152" s="19">
        <f>SUM(F152+BB152)</f>
        <v>730270</v>
      </c>
      <c r="F152" s="19">
        <f t="shared" si="388"/>
        <v>730270</v>
      </c>
      <c r="G152" s="23">
        <v>0</v>
      </c>
      <c r="H152" s="23">
        <v>0</v>
      </c>
      <c r="I152" s="19">
        <f t="shared" ref="I152" si="395">SUM(J152:O152)</f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19">
        <f t="shared" ref="P152" si="396">SUM(Q152:R152)</f>
        <v>0</v>
      </c>
      <c r="Q152" s="23">
        <v>0</v>
      </c>
      <c r="R152" s="23">
        <v>0</v>
      </c>
      <c r="S152" s="23">
        <v>0</v>
      </c>
      <c r="T152" s="23">
        <v>0</v>
      </c>
      <c r="U152" s="19">
        <f t="shared" si="389"/>
        <v>0</v>
      </c>
      <c r="V152" s="23">
        <v>0</v>
      </c>
      <c r="W152" s="23">
        <v>0</v>
      </c>
      <c r="X152" s="23">
        <v>0</v>
      </c>
      <c r="Y152" s="23">
        <v>0</v>
      </c>
      <c r="Z152" s="23">
        <v>0</v>
      </c>
      <c r="AA152" s="23">
        <v>0</v>
      </c>
      <c r="AB152" s="23">
        <v>0</v>
      </c>
      <c r="AC152" s="23">
        <v>0</v>
      </c>
      <c r="AD152" s="19">
        <v>0</v>
      </c>
      <c r="AE152" s="19">
        <f>SUM(AF152:BA152)</f>
        <v>730270</v>
      </c>
      <c r="AF152" s="19">
        <v>0</v>
      </c>
      <c r="AG152" s="19">
        <v>0</v>
      </c>
      <c r="AH152" s="23">
        <v>0</v>
      </c>
      <c r="AI152" s="23">
        <v>0</v>
      </c>
      <c r="AJ152" s="23">
        <v>0</v>
      </c>
      <c r="AK152" s="23">
        <v>0</v>
      </c>
      <c r="AL152" s="23">
        <v>0</v>
      </c>
      <c r="AM152" s="23">
        <v>0</v>
      </c>
      <c r="AN152" s="23">
        <v>0</v>
      </c>
      <c r="AO152" s="23">
        <v>0</v>
      </c>
      <c r="AP152" s="23">
        <v>0</v>
      </c>
      <c r="AQ152" s="23"/>
      <c r="AR152" s="23">
        <v>0</v>
      </c>
      <c r="AS152" s="23">
        <v>0</v>
      </c>
      <c r="AT152" s="23">
        <v>0</v>
      </c>
      <c r="AU152" s="23">
        <v>0</v>
      </c>
      <c r="AV152" s="23">
        <v>0</v>
      </c>
      <c r="AW152" s="23">
        <v>0</v>
      </c>
      <c r="AX152" s="23">
        <v>0</v>
      </c>
      <c r="AY152" s="23">
        <v>0</v>
      </c>
      <c r="AZ152" s="23">
        <v>0</v>
      </c>
      <c r="BA152" s="23">
        <v>730270</v>
      </c>
      <c r="BB152" s="19">
        <f>SUM(BC152+BG152+BJ152+BL152+BO152)</f>
        <v>0</v>
      </c>
      <c r="BC152" s="19">
        <f t="shared" si="390"/>
        <v>0</v>
      </c>
      <c r="BD152" s="19">
        <v>0</v>
      </c>
      <c r="BE152" s="19">
        <v>0</v>
      </c>
      <c r="BF152" s="19">
        <v>0</v>
      </c>
      <c r="BG152" s="19">
        <f t="shared" si="391"/>
        <v>0</v>
      </c>
      <c r="BH152" s="19">
        <v>0</v>
      </c>
      <c r="BI152" s="19">
        <v>0</v>
      </c>
      <c r="BJ152" s="19">
        <v>0</v>
      </c>
      <c r="BK152" s="19">
        <v>0</v>
      </c>
      <c r="BL152" s="19">
        <f t="shared" ref="BL152" si="397">SUM(BM152)</f>
        <v>0</v>
      </c>
      <c r="BM152" s="19">
        <v>0</v>
      </c>
      <c r="BN152" s="19">
        <v>0</v>
      </c>
      <c r="BO152" s="19">
        <f t="shared" si="392"/>
        <v>0</v>
      </c>
      <c r="BP152" s="19">
        <v>0</v>
      </c>
      <c r="BQ152" s="19">
        <v>0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0</v>
      </c>
      <c r="BY152" s="19">
        <v>0</v>
      </c>
      <c r="BZ152" s="19">
        <v>0</v>
      </c>
      <c r="CA152" s="19">
        <f>SUM(CB152+CT152)</f>
        <v>0</v>
      </c>
      <c r="CB152" s="19">
        <f>SUM(CC152+CF152+CL152)</f>
        <v>0</v>
      </c>
      <c r="CC152" s="19">
        <f t="shared" ref="CC152" si="398">SUM(CD152:CE152)</f>
        <v>0</v>
      </c>
      <c r="CD152" s="19">
        <v>0</v>
      </c>
      <c r="CE152" s="23">
        <v>0</v>
      </c>
      <c r="CF152" s="19">
        <f t="shared" si="393"/>
        <v>0</v>
      </c>
      <c r="CG152" s="19">
        <v>0</v>
      </c>
      <c r="CH152" s="19">
        <v>0</v>
      </c>
      <c r="CI152" s="19">
        <v>0</v>
      </c>
      <c r="CJ152" s="19">
        <v>0</v>
      </c>
      <c r="CK152" s="19">
        <v>0</v>
      </c>
      <c r="CL152" s="19">
        <f t="shared" si="394"/>
        <v>0</v>
      </c>
      <c r="CM152" s="19">
        <v>0</v>
      </c>
      <c r="CN152" s="19">
        <v>0</v>
      </c>
      <c r="CO152" s="19">
        <v>0</v>
      </c>
      <c r="CP152" s="19"/>
      <c r="CQ152" s="19"/>
      <c r="CR152" s="19"/>
      <c r="CS152" s="19"/>
      <c r="CT152" s="19">
        <v>0</v>
      </c>
      <c r="CU152" s="19"/>
      <c r="CV152" s="19"/>
      <c r="CW152" s="19"/>
      <c r="CX152" s="19">
        <f t="shared" ref="CX152" si="399">SUM(CY152)</f>
        <v>0</v>
      </c>
      <c r="CY152" s="19">
        <f t="shared" ref="CY152" si="400">SUM(CZ152:DA152)</f>
        <v>0</v>
      </c>
      <c r="CZ152" s="19">
        <v>0</v>
      </c>
      <c r="DA152" s="20">
        <v>0</v>
      </c>
    </row>
    <row r="153" spans="1:106" s="86" customFormat="1" ht="15.75" x14ac:dyDescent="0.25">
      <c r="A153" s="73" t="s">
        <v>620</v>
      </c>
      <c r="B153" s="25" t="s">
        <v>1</v>
      </c>
      <c r="C153" s="26" t="s">
        <v>250</v>
      </c>
      <c r="D153" s="27">
        <f t="shared" ref="D153:F153" si="401">SUM(D154+D157+D160)</f>
        <v>47344627</v>
      </c>
      <c r="E153" s="27">
        <f t="shared" si="401"/>
        <v>44142191</v>
      </c>
      <c r="F153" s="27">
        <f t="shared" si="401"/>
        <v>44142191</v>
      </c>
      <c r="G153" s="27">
        <f>SUM(G154+G157+G160)</f>
        <v>28183481</v>
      </c>
      <c r="H153" s="27">
        <f t="shared" ref="H153:BU153" si="402">SUM(H154+H157+H160)</f>
        <v>6776312</v>
      </c>
      <c r="I153" s="27">
        <f t="shared" si="402"/>
        <v>666839</v>
      </c>
      <c r="J153" s="27">
        <f t="shared" si="402"/>
        <v>0</v>
      </c>
      <c r="K153" s="27">
        <f t="shared" si="402"/>
        <v>0</v>
      </c>
      <c r="L153" s="27">
        <f t="shared" si="402"/>
        <v>0</v>
      </c>
      <c r="M153" s="27">
        <f t="shared" si="402"/>
        <v>0</v>
      </c>
      <c r="N153" s="27">
        <f t="shared" si="402"/>
        <v>554492</v>
      </c>
      <c r="O153" s="27">
        <f t="shared" si="402"/>
        <v>112347</v>
      </c>
      <c r="P153" s="27">
        <f t="shared" si="402"/>
        <v>37796</v>
      </c>
      <c r="Q153" s="27">
        <f t="shared" si="402"/>
        <v>0</v>
      </c>
      <c r="R153" s="27">
        <f t="shared" si="402"/>
        <v>37796</v>
      </c>
      <c r="S153" s="27">
        <f t="shared" si="402"/>
        <v>0</v>
      </c>
      <c r="T153" s="27">
        <f t="shared" si="402"/>
        <v>146668</v>
      </c>
      <c r="U153" s="27">
        <f t="shared" si="402"/>
        <v>264410</v>
      </c>
      <c r="V153" s="27">
        <f t="shared" si="402"/>
        <v>183561</v>
      </c>
      <c r="W153" s="27">
        <f t="shared" si="402"/>
        <v>1993</v>
      </c>
      <c r="X153" s="27">
        <f t="shared" si="402"/>
        <v>78642</v>
      </c>
      <c r="Y153" s="27">
        <f t="shared" si="402"/>
        <v>214</v>
      </c>
      <c r="Z153" s="27">
        <f t="shared" si="402"/>
        <v>0</v>
      </c>
      <c r="AA153" s="27">
        <f t="shared" si="402"/>
        <v>0</v>
      </c>
      <c r="AB153" s="27">
        <f t="shared" si="402"/>
        <v>0</v>
      </c>
      <c r="AC153" s="27">
        <f t="shared" si="402"/>
        <v>0</v>
      </c>
      <c r="AD153" s="27">
        <f t="shared" ref="AD153" si="403">SUM(AD154+AD157+AD160)</f>
        <v>0</v>
      </c>
      <c r="AE153" s="27">
        <f t="shared" si="402"/>
        <v>8066685</v>
      </c>
      <c r="AF153" s="27">
        <f t="shared" si="402"/>
        <v>0</v>
      </c>
      <c r="AG153" s="27">
        <f t="shared" si="402"/>
        <v>0</v>
      </c>
      <c r="AH153" s="27">
        <f t="shared" si="402"/>
        <v>0</v>
      </c>
      <c r="AI153" s="27">
        <f t="shared" si="402"/>
        <v>0</v>
      </c>
      <c r="AJ153" s="27">
        <f t="shared" si="402"/>
        <v>0</v>
      </c>
      <c r="AK153" s="27">
        <f t="shared" si="402"/>
        <v>0</v>
      </c>
      <c r="AL153" s="27">
        <f t="shared" si="402"/>
        <v>0</v>
      </c>
      <c r="AM153" s="27">
        <f t="shared" si="402"/>
        <v>416</v>
      </c>
      <c r="AN153" s="27">
        <f t="shared" si="402"/>
        <v>2676017</v>
      </c>
      <c r="AO153" s="27">
        <f t="shared" si="402"/>
        <v>0</v>
      </c>
      <c r="AP153" s="27">
        <f t="shared" si="402"/>
        <v>0</v>
      </c>
      <c r="AQ153" s="27"/>
      <c r="AR153" s="27">
        <f t="shared" si="402"/>
        <v>0</v>
      </c>
      <c r="AS153" s="27">
        <f t="shared" si="402"/>
        <v>45182</v>
      </c>
      <c r="AT153" s="27">
        <f t="shared" si="402"/>
        <v>0</v>
      </c>
      <c r="AU153" s="27">
        <f t="shared" si="402"/>
        <v>0</v>
      </c>
      <c r="AV153" s="27">
        <f t="shared" si="402"/>
        <v>0</v>
      </c>
      <c r="AW153" s="27">
        <f t="shared" si="402"/>
        <v>0</v>
      </c>
      <c r="AX153" s="27">
        <f t="shared" si="402"/>
        <v>0</v>
      </c>
      <c r="AY153" s="27">
        <f t="shared" si="402"/>
        <v>0</v>
      </c>
      <c r="AZ153" s="27">
        <f t="shared" si="402"/>
        <v>0</v>
      </c>
      <c r="BA153" s="27">
        <f t="shared" si="402"/>
        <v>5345070</v>
      </c>
      <c r="BB153" s="27">
        <f t="shared" si="402"/>
        <v>0</v>
      </c>
      <c r="BC153" s="27">
        <f t="shared" si="402"/>
        <v>0</v>
      </c>
      <c r="BD153" s="27">
        <f t="shared" si="402"/>
        <v>0</v>
      </c>
      <c r="BE153" s="27">
        <f t="shared" si="402"/>
        <v>0</v>
      </c>
      <c r="BF153" s="27">
        <f t="shared" si="402"/>
        <v>0</v>
      </c>
      <c r="BG153" s="27">
        <f t="shared" si="402"/>
        <v>0</v>
      </c>
      <c r="BH153" s="27">
        <f t="shared" si="402"/>
        <v>0</v>
      </c>
      <c r="BI153" s="27">
        <f t="shared" si="402"/>
        <v>0</v>
      </c>
      <c r="BJ153" s="27">
        <f t="shared" si="402"/>
        <v>0</v>
      </c>
      <c r="BK153" s="27">
        <f t="shared" ref="BK153" si="404">SUM(BK154+BK157+BK160)</f>
        <v>0</v>
      </c>
      <c r="BL153" s="27">
        <f t="shared" si="402"/>
        <v>0</v>
      </c>
      <c r="BM153" s="27">
        <f t="shared" si="402"/>
        <v>0</v>
      </c>
      <c r="BN153" s="27">
        <f t="shared" si="402"/>
        <v>0</v>
      </c>
      <c r="BO153" s="27">
        <f t="shared" si="402"/>
        <v>0</v>
      </c>
      <c r="BP153" s="27">
        <f t="shared" si="402"/>
        <v>0</v>
      </c>
      <c r="BQ153" s="27">
        <f t="shared" si="402"/>
        <v>0</v>
      </c>
      <c r="BR153" s="27">
        <f t="shared" si="402"/>
        <v>0</v>
      </c>
      <c r="BS153" s="27">
        <f t="shared" si="402"/>
        <v>0</v>
      </c>
      <c r="BT153" s="27">
        <f t="shared" si="402"/>
        <v>0</v>
      </c>
      <c r="BU153" s="27">
        <f t="shared" si="402"/>
        <v>0</v>
      </c>
      <c r="BV153" s="27">
        <f t="shared" ref="BV153:DA153" si="405">SUM(BV154+BV157+BV160)</f>
        <v>0</v>
      </c>
      <c r="BW153" s="27">
        <f t="shared" si="405"/>
        <v>0</v>
      </c>
      <c r="BX153" s="27">
        <f t="shared" si="405"/>
        <v>0</v>
      </c>
      <c r="BY153" s="27">
        <f t="shared" si="405"/>
        <v>0</v>
      </c>
      <c r="BZ153" s="27">
        <f t="shared" si="405"/>
        <v>0</v>
      </c>
      <c r="CA153" s="27">
        <f t="shared" si="405"/>
        <v>3202436</v>
      </c>
      <c r="CB153" s="27">
        <f t="shared" si="405"/>
        <v>3202436</v>
      </c>
      <c r="CC153" s="27">
        <f t="shared" si="405"/>
        <v>2367168</v>
      </c>
      <c r="CD153" s="27">
        <f t="shared" si="405"/>
        <v>0</v>
      </c>
      <c r="CE153" s="27">
        <f t="shared" si="405"/>
        <v>2367168</v>
      </c>
      <c r="CF153" s="27">
        <f t="shared" si="405"/>
        <v>688321</v>
      </c>
      <c r="CG153" s="27">
        <f t="shared" si="405"/>
        <v>0</v>
      </c>
      <c r="CH153" s="27">
        <f t="shared" si="405"/>
        <v>0</v>
      </c>
      <c r="CI153" s="27">
        <f t="shared" si="405"/>
        <v>688321</v>
      </c>
      <c r="CJ153" s="27">
        <f t="shared" si="405"/>
        <v>0</v>
      </c>
      <c r="CK153" s="27">
        <f t="shared" si="405"/>
        <v>0</v>
      </c>
      <c r="CL153" s="27">
        <f t="shared" si="405"/>
        <v>146947</v>
      </c>
      <c r="CM153" s="27">
        <f t="shared" si="405"/>
        <v>0</v>
      </c>
      <c r="CN153" s="27">
        <f t="shared" si="405"/>
        <v>146947</v>
      </c>
      <c r="CO153" s="27">
        <f t="shared" si="405"/>
        <v>0</v>
      </c>
      <c r="CP153" s="27">
        <f t="shared" si="405"/>
        <v>0</v>
      </c>
      <c r="CQ153" s="27">
        <f t="shared" si="405"/>
        <v>0</v>
      </c>
      <c r="CR153" s="27"/>
      <c r="CS153" s="27"/>
      <c r="CT153" s="27">
        <f t="shared" si="405"/>
        <v>0</v>
      </c>
      <c r="CU153" s="27"/>
      <c r="CV153" s="27"/>
      <c r="CW153" s="27"/>
      <c r="CX153" s="27">
        <f t="shared" si="405"/>
        <v>0</v>
      </c>
      <c r="CY153" s="27">
        <f t="shared" si="405"/>
        <v>0</v>
      </c>
      <c r="CZ153" s="27">
        <f t="shared" si="405"/>
        <v>0</v>
      </c>
      <c r="DA153" s="55">
        <f t="shared" si="405"/>
        <v>0</v>
      </c>
      <c r="DB153" s="85"/>
    </row>
    <row r="154" spans="1:106" ht="15.75" x14ac:dyDescent="0.25">
      <c r="A154" s="71" t="s">
        <v>251</v>
      </c>
      <c r="B154" s="16" t="s">
        <v>1</v>
      </c>
      <c r="C154" s="17" t="s">
        <v>252</v>
      </c>
      <c r="D154" s="18">
        <f t="shared" ref="D154:AT154" si="406">SUM(D155:D156)</f>
        <v>36079703</v>
      </c>
      <c r="E154" s="19">
        <f t="shared" si="406"/>
        <v>33807801</v>
      </c>
      <c r="F154" s="19">
        <f t="shared" si="406"/>
        <v>33807801</v>
      </c>
      <c r="G154" s="19">
        <f t="shared" si="406"/>
        <v>22052896</v>
      </c>
      <c r="H154" s="19">
        <f t="shared" si="406"/>
        <v>5319449</v>
      </c>
      <c r="I154" s="19">
        <f t="shared" si="406"/>
        <v>635347</v>
      </c>
      <c r="J154" s="19">
        <f t="shared" si="406"/>
        <v>0</v>
      </c>
      <c r="K154" s="19">
        <f t="shared" si="406"/>
        <v>0</v>
      </c>
      <c r="L154" s="19">
        <f t="shared" si="406"/>
        <v>0</v>
      </c>
      <c r="M154" s="19">
        <f t="shared" si="406"/>
        <v>0</v>
      </c>
      <c r="N154" s="19">
        <f t="shared" si="406"/>
        <v>523000</v>
      </c>
      <c r="O154" s="19">
        <f t="shared" si="406"/>
        <v>112347</v>
      </c>
      <c r="P154" s="19">
        <f t="shared" si="406"/>
        <v>37796</v>
      </c>
      <c r="Q154" s="19">
        <f t="shared" si="406"/>
        <v>0</v>
      </c>
      <c r="R154" s="19">
        <f t="shared" si="406"/>
        <v>37796</v>
      </c>
      <c r="S154" s="19">
        <f t="shared" si="406"/>
        <v>0</v>
      </c>
      <c r="T154" s="19">
        <f t="shared" si="406"/>
        <v>116878</v>
      </c>
      <c r="U154" s="19">
        <f t="shared" si="406"/>
        <v>255183</v>
      </c>
      <c r="V154" s="19">
        <f t="shared" si="406"/>
        <v>178200</v>
      </c>
      <c r="W154" s="19">
        <f t="shared" si="406"/>
        <v>0</v>
      </c>
      <c r="X154" s="19">
        <f t="shared" si="406"/>
        <v>76983</v>
      </c>
      <c r="Y154" s="19">
        <f t="shared" si="406"/>
        <v>0</v>
      </c>
      <c r="Z154" s="19">
        <f t="shared" si="406"/>
        <v>0</v>
      </c>
      <c r="AA154" s="19">
        <f t="shared" si="406"/>
        <v>0</v>
      </c>
      <c r="AB154" s="19">
        <f t="shared" si="406"/>
        <v>0</v>
      </c>
      <c r="AC154" s="19">
        <f t="shared" si="406"/>
        <v>0</v>
      </c>
      <c r="AD154" s="19">
        <f t="shared" ref="AD154" si="407">SUM(AD155:AD156)</f>
        <v>0</v>
      </c>
      <c r="AE154" s="19">
        <f t="shared" si="406"/>
        <v>5390252</v>
      </c>
      <c r="AF154" s="19">
        <f t="shared" si="406"/>
        <v>0</v>
      </c>
      <c r="AG154" s="19">
        <f t="shared" si="406"/>
        <v>0</v>
      </c>
      <c r="AH154" s="19">
        <f t="shared" si="406"/>
        <v>0</v>
      </c>
      <c r="AI154" s="19">
        <f t="shared" si="406"/>
        <v>0</v>
      </c>
      <c r="AJ154" s="19">
        <f t="shared" si="406"/>
        <v>0</v>
      </c>
      <c r="AK154" s="19">
        <f t="shared" si="406"/>
        <v>0</v>
      </c>
      <c r="AL154" s="19">
        <f t="shared" si="406"/>
        <v>0</v>
      </c>
      <c r="AM154" s="19">
        <f t="shared" si="406"/>
        <v>0</v>
      </c>
      <c r="AN154" s="19">
        <f t="shared" si="406"/>
        <v>0</v>
      </c>
      <c r="AO154" s="19">
        <f t="shared" si="406"/>
        <v>0</v>
      </c>
      <c r="AP154" s="19">
        <f t="shared" si="406"/>
        <v>0</v>
      </c>
      <c r="AQ154" s="19"/>
      <c r="AR154" s="19">
        <f t="shared" si="406"/>
        <v>0</v>
      </c>
      <c r="AS154" s="19">
        <f t="shared" si="406"/>
        <v>45182</v>
      </c>
      <c r="AT154" s="19">
        <f t="shared" si="406"/>
        <v>0</v>
      </c>
      <c r="AU154" s="19"/>
      <c r="AV154" s="19"/>
      <c r="AW154" s="19">
        <f>SUM(AW155:AW156)</f>
        <v>0</v>
      </c>
      <c r="AX154" s="19">
        <f>SUM(AX155:AX156)</f>
        <v>0</v>
      </c>
      <c r="AY154" s="19">
        <f>SUM(AY155:AY156)</f>
        <v>0</v>
      </c>
      <c r="AZ154" s="19"/>
      <c r="BA154" s="19">
        <f t="shared" ref="BA154:CO154" si="408">SUM(BA155:BA156)</f>
        <v>5345070</v>
      </c>
      <c r="BB154" s="19">
        <f t="shared" si="408"/>
        <v>0</v>
      </c>
      <c r="BC154" s="19">
        <f t="shared" si="408"/>
        <v>0</v>
      </c>
      <c r="BD154" s="19">
        <f t="shared" si="408"/>
        <v>0</v>
      </c>
      <c r="BE154" s="19">
        <f t="shared" si="408"/>
        <v>0</v>
      </c>
      <c r="BF154" s="19">
        <f t="shared" si="408"/>
        <v>0</v>
      </c>
      <c r="BG154" s="19">
        <f t="shared" si="408"/>
        <v>0</v>
      </c>
      <c r="BH154" s="19">
        <f t="shared" si="408"/>
        <v>0</v>
      </c>
      <c r="BI154" s="19">
        <f t="shared" si="408"/>
        <v>0</v>
      </c>
      <c r="BJ154" s="19">
        <f t="shared" si="408"/>
        <v>0</v>
      </c>
      <c r="BK154" s="19">
        <f t="shared" ref="BK154" si="409">SUM(BK155:BK156)</f>
        <v>0</v>
      </c>
      <c r="BL154" s="19">
        <f t="shared" si="408"/>
        <v>0</v>
      </c>
      <c r="BM154" s="19">
        <f t="shared" si="408"/>
        <v>0</v>
      </c>
      <c r="BN154" s="19">
        <f t="shared" si="408"/>
        <v>0</v>
      </c>
      <c r="BO154" s="19">
        <f t="shared" si="408"/>
        <v>0</v>
      </c>
      <c r="BP154" s="19">
        <f t="shared" si="408"/>
        <v>0</v>
      </c>
      <c r="BQ154" s="19">
        <f t="shared" si="408"/>
        <v>0</v>
      </c>
      <c r="BR154" s="19">
        <f t="shared" si="408"/>
        <v>0</v>
      </c>
      <c r="BS154" s="19">
        <f t="shared" si="408"/>
        <v>0</v>
      </c>
      <c r="BT154" s="19">
        <f t="shared" si="408"/>
        <v>0</v>
      </c>
      <c r="BU154" s="19">
        <f t="shared" si="408"/>
        <v>0</v>
      </c>
      <c r="BV154" s="19">
        <f t="shared" si="408"/>
        <v>0</v>
      </c>
      <c r="BW154" s="19">
        <f t="shared" si="408"/>
        <v>0</v>
      </c>
      <c r="BX154" s="19">
        <f t="shared" si="408"/>
        <v>0</v>
      </c>
      <c r="BY154" s="19">
        <f t="shared" si="408"/>
        <v>0</v>
      </c>
      <c r="BZ154" s="19">
        <f t="shared" si="408"/>
        <v>0</v>
      </c>
      <c r="CA154" s="19">
        <f t="shared" si="408"/>
        <v>2271902</v>
      </c>
      <c r="CB154" s="19">
        <f t="shared" si="408"/>
        <v>2271902</v>
      </c>
      <c r="CC154" s="19">
        <f t="shared" si="408"/>
        <v>2271902</v>
      </c>
      <c r="CD154" s="19">
        <f t="shared" si="408"/>
        <v>0</v>
      </c>
      <c r="CE154" s="19">
        <f t="shared" si="408"/>
        <v>2271902</v>
      </c>
      <c r="CF154" s="19">
        <f t="shared" si="408"/>
        <v>0</v>
      </c>
      <c r="CG154" s="19">
        <f t="shared" si="408"/>
        <v>0</v>
      </c>
      <c r="CH154" s="19">
        <f t="shared" si="408"/>
        <v>0</v>
      </c>
      <c r="CI154" s="19">
        <f t="shared" si="408"/>
        <v>0</v>
      </c>
      <c r="CJ154" s="19">
        <f t="shared" si="408"/>
        <v>0</v>
      </c>
      <c r="CK154" s="19">
        <f t="shared" ref="CK154" si="410">SUM(CK155:CK156)</f>
        <v>0</v>
      </c>
      <c r="CL154" s="19">
        <f t="shared" si="408"/>
        <v>0</v>
      </c>
      <c r="CM154" s="19">
        <f t="shared" si="408"/>
        <v>0</v>
      </c>
      <c r="CN154" s="19">
        <f t="shared" si="408"/>
        <v>0</v>
      </c>
      <c r="CO154" s="19">
        <f t="shared" si="408"/>
        <v>0</v>
      </c>
      <c r="CP154" s="19"/>
      <c r="CQ154" s="19"/>
      <c r="CR154" s="19"/>
      <c r="CS154" s="19"/>
      <c r="CT154" s="19">
        <f t="shared" ref="CT154:DA154" si="411">SUM(CT155:CT156)</f>
        <v>0</v>
      </c>
      <c r="CU154" s="19"/>
      <c r="CV154" s="19"/>
      <c r="CW154" s="19"/>
      <c r="CX154" s="19">
        <f t="shared" si="411"/>
        <v>0</v>
      </c>
      <c r="CY154" s="19">
        <f t="shared" si="411"/>
        <v>0</v>
      </c>
      <c r="CZ154" s="19">
        <f t="shared" si="411"/>
        <v>0</v>
      </c>
      <c r="DA154" s="20">
        <f t="shared" si="411"/>
        <v>0</v>
      </c>
    </row>
    <row r="155" spans="1:106" ht="31.5" x14ac:dyDescent="0.25">
      <c r="A155" s="72"/>
      <c r="B155" s="33" t="s">
        <v>104</v>
      </c>
      <c r="C155" s="32" t="s">
        <v>638</v>
      </c>
      <c r="D155" s="18">
        <f>SUM(E155+CA155+CX155)</f>
        <v>30735684</v>
      </c>
      <c r="E155" s="19">
        <f>SUM(F155+BB155)</f>
        <v>28463782</v>
      </c>
      <c r="F155" s="19">
        <f>SUM(G155+H155+I155+P155+S155+T155+U155+AE155)</f>
        <v>28463782</v>
      </c>
      <c r="G155" s="23">
        <v>22052896</v>
      </c>
      <c r="H155" s="23">
        <v>5319449</v>
      </c>
      <c r="I155" s="19">
        <f t="shared" ref="I155" si="412">SUM(J155:O155)</f>
        <v>635347</v>
      </c>
      <c r="J155" s="23">
        <v>0</v>
      </c>
      <c r="K155" s="23">
        <v>0</v>
      </c>
      <c r="L155" s="23">
        <v>0</v>
      </c>
      <c r="M155" s="23">
        <v>0</v>
      </c>
      <c r="N155" s="23">
        <v>523000</v>
      </c>
      <c r="O155" s="23">
        <f>15537+96810</f>
        <v>112347</v>
      </c>
      <c r="P155" s="19">
        <f t="shared" ref="P155" si="413">SUM(Q155:R155)</f>
        <v>37796</v>
      </c>
      <c r="Q155" s="19">
        <v>0</v>
      </c>
      <c r="R155" s="35">
        <v>37796</v>
      </c>
      <c r="S155" s="35">
        <v>0</v>
      </c>
      <c r="T155" s="35">
        <v>116878</v>
      </c>
      <c r="U155" s="19">
        <f t="shared" ref="U155" si="414">SUM(V155:AC155)</f>
        <v>255183</v>
      </c>
      <c r="V155" s="23">
        <v>178200</v>
      </c>
      <c r="W155" s="23">
        <v>0</v>
      </c>
      <c r="X155" s="23">
        <v>76983</v>
      </c>
      <c r="Y155" s="23">
        <v>0</v>
      </c>
      <c r="Z155" s="23">
        <v>0</v>
      </c>
      <c r="AA155" s="23">
        <v>0</v>
      </c>
      <c r="AB155" s="23">
        <v>0</v>
      </c>
      <c r="AC155" s="23">
        <v>0</v>
      </c>
      <c r="AD155" s="19">
        <v>0</v>
      </c>
      <c r="AE155" s="19">
        <f>SUM(AF155:BA155)</f>
        <v>46233</v>
      </c>
      <c r="AF155" s="19">
        <v>0</v>
      </c>
      <c r="AG155" s="19">
        <v>0</v>
      </c>
      <c r="AH155" s="23">
        <v>0</v>
      </c>
      <c r="AI155" s="23">
        <v>0</v>
      </c>
      <c r="AJ155" s="23">
        <v>0</v>
      </c>
      <c r="AK155" s="23">
        <v>0</v>
      </c>
      <c r="AL155" s="23">
        <v>0</v>
      </c>
      <c r="AM155" s="23">
        <v>0</v>
      </c>
      <c r="AN155" s="23">
        <v>0</v>
      </c>
      <c r="AO155" s="23">
        <v>0</v>
      </c>
      <c r="AP155" s="23">
        <v>0</v>
      </c>
      <c r="AQ155" s="23"/>
      <c r="AR155" s="23">
        <v>0</v>
      </c>
      <c r="AS155" s="23">
        <v>45182</v>
      </c>
      <c r="AT155" s="23">
        <v>0</v>
      </c>
      <c r="AU155" s="23">
        <v>0</v>
      </c>
      <c r="AV155" s="23">
        <v>0</v>
      </c>
      <c r="AW155" s="23">
        <v>0</v>
      </c>
      <c r="AX155" s="23">
        <v>0</v>
      </c>
      <c r="AY155" s="23">
        <v>0</v>
      </c>
      <c r="AZ155" s="23">
        <v>0</v>
      </c>
      <c r="BA155" s="23">
        <v>1051</v>
      </c>
      <c r="BB155" s="19">
        <f>SUM(BC155+BG155+BJ155+BL155+BO155)</f>
        <v>0</v>
      </c>
      <c r="BC155" s="19">
        <f>SUM(BD155:BF155)</f>
        <v>0</v>
      </c>
      <c r="BD155" s="19">
        <v>0</v>
      </c>
      <c r="BE155" s="19">
        <v>0</v>
      </c>
      <c r="BF155" s="19">
        <v>0</v>
      </c>
      <c r="BG155" s="19">
        <f>SUM(BI155:BI155)</f>
        <v>0</v>
      </c>
      <c r="BH155" s="19">
        <v>0</v>
      </c>
      <c r="BI155" s="19">
        <v>0</v>
      </c>
      <c r="BJ155" s="19">
        <v>0</v>
      </c>
      <c r="BK155" s="19">
        <v>0</v>
      </c>
      <c r="BL155" s="19">
        <f t="shared" ref="BL155" si="415">SUM(BM155)</f>
        <v>0</v>
      </c>
      <c r="BM155" s="19">
        <v>0</v>
      </c>
      <c r="BN155" s="19">
        <v>0</v>
      </c>
      <c r="BO155" s="19">
        <f>SUM(BP155:BZ155)</f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v>0</v>
      </c>
      <c r="CA155" s="19">
        <f>SUM(CB155+CT155)</f>
        <v>2271902</v>
      </c>
      <c r="CB155" s="19">
        <f>SUM(CC155+CF155+CL155)</f>
        <v>2271902</v>
      </c>
      <c r="CC155" s="19">
        <f t="shared" ref="CC155" si="416">SUM(CD155:CE155)</f>
        <v>2271902</v>
      </c>
      <c r="CD155" s="19">
        <v>0</v>
      </c>
      <c r="CE155" s="23">
        <f>2368712-96810</f>
        <v>2271902</v>
      </c>
      <c r="CF155" s="19">
        <f>SUM(CG155:CK155)</f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v>0</v>
      </c>
      <c r="CL155" s="19">
        <f>SUM(CM155:CQ155)</f>
        <v>0</v>
      </c>
      <c r="CM155" s="19">
        <v>0</v>
      </c>
      <c r="CN155" s="19">
        <v>0</v>
      </c>
      <c r="CO155" s="19">
        <v>0</v>
      </c>
      <c r="CP155" s="19"/>
      <c r="CQ155" s="19"/>
      <c r="CR155" s="19"/>
      <c r="CS155" s="19"/>
      <c r="CT155" s="19">
        <v>0</v>
      </c>
      <c r="CU155" s="19"/>
      <c r="CV155" s="19"/>
      <c r="CW155" s="19"/>
      <c r="CX155" s="19">
        <f t="shared" ref="CX155" si="417">SUM(CY155)</f>
        <v>0</v>
      </c>
      <c r="CY155" s="19">
        <f t="shared" ref="CY155" si="418">SUM(CZ155:DA155)</f>
        <v>0</v>
      </c>
      <c r="CZ155" s="19">
        <v>0</v>
      </c>
      <c r="DA155" s="20">
        <v>0</v>
      </c>
    </row>
    <row r="156" spans="1:106" ht="31.5" x14ac:dyDescent="0.25">
      <c r="A156" s="72" t="s">
        <v>1</v>
      </c>
      <c r="B156" s="33" t="s">
        <v>104</v>
      </c>
      <c r="C156" s="32" t="s">
        <v>639</v>
      </c>
      <c r="D156" s="18">
        <f>SUM(E156+CA156+CX156)</f>
        <v>5344019</v>
      </c>
      <c r="E156" s="19">
        <f>SUM(F156+BB156)</f>
        <v>5344019</v>
      </c>
      <c r="F156" s="19">
        <f>SUM(G156+H156+I156+P156+S156+T156+U156+AE156)</f>
        <v>5344019</v>
      </c>
      <c r="G156" s="23"/>
      <c r="H156" s="23"/>
      <c r="I156" s="19">
        <f t="shared" si="376"/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19">
        <f t="shared" si="377"/>
        <v>0</v>
      </c>
      <c r="Q156" s="19">
        <v>0</v>
      </c>
      <c r="R156" s="23">
        <v>0</v>
      </c>
      <c r="S156" s="23">
        <v>0</v>
      </c>
      <c r="T156" s="23">
        <v>0</v>
      </c>
      <c r="U156" s="19">
        <f t="shared" ref="U156" si="419">SUM(V156:AC156)</f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19">
        <v>0</v>
      </c>
      <c r="AE156" s="19">
        <f>SUM(AF156:BA156)</f>
        <v>5344019</v>
      </c>
      <c r="AF156" s="19">
        <v>0</v>
      </c>
      <c r="AG156" s="19">
        <v>0</v>
      </c>
      <c r="AH156" s="23">
        <v>0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0</v>
      </c>
      <c r="AP156" s="23">
        <v>0</v>
      </c>
      <c r="AQ156" s="23"/>
      <c r="AR156" s="23">
        <v>0</v>
      </c>
      <c r="AS156" s="23">
        <v>0</v>
      </c>
      <c r="AT156" s="23">
        <v>0</v>
      </c>
      <c r="AU156" s="23">
        <v>0</v>
      </c>
      <c r="AV156" s="23">
        <v>0</v>
      </c>
      <c r="AW156" s="23">
        <v>0</v>
      </c>
      <c r="AX156" s="23">
        <v>0</v>
      </c>
      <c r="AY156" s="23">
        <v>0</v>
      </c>
      <c r="AZ156" s="23">
        <v>0</v>
      </c>
      <c r="BA156" s="23">
        <f>7207825-1863806</f>
        <v>5344019</v>
      </c>
      <c r="BB156" s="19">
        <f>SUM(BC156+BG156+BJ156+BL156+BO156)</f>
        <v>0</v>
      </c>
      <c r="BC156" s="19">
        <f>SUM(BD156:BF156)</f>
        <v>0</v>
      </c>
      <c r="BD156" s="19">
        <v>0</v>
      </c>
      <c r="BE156" s="19">
        <v>0</v>
      </c>
      <c r="BF156" s="19">
        <v>0</v>
      </c>
      <c r="BG156" s="19">
        <f>SUM(BI156:BI156)</f>
        <v>0</v>
      </c>
      <c r="BH156" s="19">
        <v>0</v>
      </c>
      <c r="BI156" s="19">
        <v>0</v>
      </c>
      <c r="BJ156" s="19">
        <v>0</v>
      </c>
      <c r="BK156" s="19">
        <v>0</v>
      </c>
      <c r="BL156" s="19">
        <f t="shared" si="379"/>
        <v>0</v>
      </c>
      <c r="BM156" s="19">
        <v>0</v>
      </c>
      <c r="BN156" s="19">
        <v>0</v>
      </c>
      <c r="BO156" s="19">
        <f>SUM(BP156:BZ156)</f>
        <v>0</v>
      </c>
      <c r="BP156" s="19">
        <v>0</v>
      </c>
      <c r="BQ156" s="19">
        <v>0</v>
      </c>
      <c r="BR156" s="19">
        <v>0</v>
      </c>
      <c r="BS156" s="19">
        <v>0</v>
      </c>
      <c r="BT156" s="19">
        <v>0</v>
      </c>
      <c r="BU156" s="19">
        <v>0</v>
      </c>
      <c r="BV156" s="19">
        <v>0</v>
      </c>
      <c r="BW156" s="19">
        <v>0</v>
      </c>
      <c r="BX156" s="19">
        <v>0</v>
      </c>
      <c r="BY156" s="19">
        <v>0</v>
      </c>
      <c r="BZ156" s="19">
        <v>0</v>
      </c>
      <c r="CA156" s="19">
        <f>SUM(CB156+CT156)</f>
        <v>0</v>
      </c>
      <c r="CB156" s="19">
        <f>SUM(CC156+CF156+CL156)</f>
        <v>0</v>
      </c>
      <c r="CC156" s="19">
        <f t="shared" si="380"/>
        <v>0</v>
      </c>
      <c r="CD156" s="19">
        <v>0</v>
      </c>
      <c r="CE156" s="19"/>
      <c r="CF156" s="19">
        <f>SUM(CG156:CK156)</f>
        <v>0</v>
      </c>
      <c r="CG156" s="19">
        <v>0</v>
      </c>
      <c r="CH156" s="19">
        <v>0</v>
      </c>
      <c r="CI156" s="19">
        <v>0</v>
      </c>
      <c r="CJ156" s="19">
        <v>0</v>
      </c>
      <c r="CK156" s="19">
        <v>0</v>
      </c>
      <c r="CL156" s="19">
        <f>SUM(CM156:CQ156)</f>
        <v>0</v>
      </c>
      <c r="CM156" s="19">
        <v>0</v>
      </c>
      <c r="CN156" s="19">
        <v>0</v>
      </c>
      <c r="CO156" s="19">
        <v>0</v>
      </c>
      <c r="CP156" s="19"/>
      <c r="CQ156" s="19"/>
      <c r="CR156" s="19"/>
      <c r="CS156" s="19"/>
      <c r="CT156" s="19">
        <v>0</v>
      </c>
      <c r="CU156" s="19"/>
      <c r="CV156" s="19"/>
      <c r="CW156" s="19"/>
      <c r="CX156" s="19">
        <f t="shared" si="382"/>
        <v>0</v>
      </c>
      <c r="CY156" s="19">
        <f t="shared" si="383"/>
        <v>0</v>
      </c>
      <c r="CZ156" s="19">
        <v>0</v>
      </c>
      <c r="DA156" s="20">
        <v>0</v>
      </c>
    </row>
    <row r="157" spans="1:106" ht="15.75" x14ac:dyDescent="0.25">
      <c r="A157" s="71" t="s">
        <v>253</v>
      </c>
      <c r="B157" s="16" t="s">
        <v>1</v>
      </c>
      <c r="C157" s="17" t="s">
        <v>254</v>
      </c>
      <c r="D157" s="18">
        <f t="shared" ref="D157:AT157" si="420">SUM(D158:D159)</f>
        <v>10776034</v>
      </c>
      <c r="E157" s="19">
        <f t="shared" si="420"/>
        <v>9877382</v>
      </c>
      <c r="F157" s="19">
        <f t="shared" si="420"/>
        <v>9877382</v>
      </c>
      <c r="G157" s="19">
        <f t="shared" si="420"/>
        <v>5774770</v>
      </c>
      <c r="H157" s="19">
        <f t="shared" si="420"/>
        <v>1372508</v>
      </c>
      <c r="I157" s="19">
        <f t="shared" si="420"/>
        <v>31492</v>
      </c>
      <c r="J157" s="19">
        <f t="shared" si="420"/>
        <v>0</v>
      </c>
      <c r="K157" s="19">
        <f t="shared" si="420"/>
        <v>0</v>
      </c>
      <c r="L157" s="19">
        <f t="shared" si="420"/>
        <v>0</v>
      </c>
      <c r="M157" s="19">
        <f t="shared" si="420"/>
        <v>0</v>
      </c>
      <c r="N157" s="19">
        <f t="shared" si="420"/>
        <v>31492</v>
      </c>
      <c r="O157" s="19">
        <f t="shared" si="420"/>
        <v>0</v>
      </c>
      <c r="P157" s="19">
        <f t="shared" si="420"/>
        <v>0</v>
      </c>
      <c r="Q157" s="19">
        <f t="shared" si="420"/>
        <v>0</v>
      </c>
      <c r="R157" s="19">
        <f t="shared" si="420"/>
        <v>0</v>
      </c>
      <c r="S157" s="19">
        <f t="shared" si="420"/>
        <v>0</v>
      </c>
      <c r="T157" s="19">
        <f t="shared" si="420"/>
        <v>17941</v>
      </c>
      <c r="U157" s="19">
        <f t="shared" si="420"/>
        <v>4238</v>
      </c>
      <c r="V157" s="19">
        <f t="shared" si="420"/>
        <v>4238</v>
      </c>
      <c r="W157" s="19">
        <f t="shared" si="420"/>
        <v>0</v>
      </c>
      <c r="X157" s="19">
        <f t="shared" si="420"/>
        <v>0</v>
      </c>
      <c r="Y157" s="19">
        <f t="shared" si="420"/>
        <v>0</v>
      </c>
      <c r="Z157" s="19">
        <f t="shared" si="420"/>
        <v>0</v>
      </c>
      <c r="AA157" s="19">
        <f t="shared" si="420"/>
        <v>0</v>
      </c>
      <c r="AB157" s="19">
        <f t="shared" si="420"/>
        <v>0</v>
      </c>
      <c r="AC157" s="19">
        <f t="shared" si="420"/>
        <v>0</v>
      </c>
      <c r="AD157" s="19">
        <f t="shared" ref="AD157" si="421">SUM(AD158:AD159)</f>
        <v>0</v>
      </c>
      <c r="AE157" s="19">
        <f t="shared" si="420"/>
        <v>2676433</v>
      </c>
      <c r="AF157" s="19">
        <f t="shared" si="420"/>
        <v>0</v>
      </c>
      <c r="AG157" s="19">
        <f t="shared" si="420"/>
        <v>0</v>
      </c>
      <c r="AH157" s="19">
        <f t="shared" si="420"/>
        <v>0</v>
      </c>
      <c r="AI157" s="19">
        <f t="shared" si="420"/>
        <v>0</v>
      </c>
      <c r="AJ157" s="19">
        <f t="shared" si="420"/>
        <v>0</v>
      </c>
      <c r="AK157" s="19">
        <f t="shared" si="420"/>
        <v>0</v>
      </c>
      <c r="AL157" s="19">
        <f t="shared" si="420"/>
        <v>0</v>
      </c>
      <c r="AM157" s="19">
        <f t="shared" si="420"/>
        <v>416</v>
      </c>
      <c r="AN157" s="19">
        <f t="shared" si="420"/>
        <v>2676017</v>
      </c>
      <c r="AO157" s="19">
        <f t="shared" si="420"/>
        <v>0</v>
      </c>
      <c r="AP157" s="19">
        <f t="shared" si="420"/>
        <v>0</v>
      </c>
      <c r="AQ157" s="19"/>
      <c r="AR157" s="19">
        <f t="shared" si="420"/>
        <v>0</v>
      </c>
      <c r="AS157" s="19">
        <f t="shared" si="420"/>
        <v>0</v>
      </c>
      <c r="AT157" s="19">
        <f t="shared" si="420"/>
        <v>0</v>
      </c>
      <c r="AU157" s="19"/>
      <c r="AV157" s="19"/>
      <c r="AW157" s="19">
        <f>SUM(AW158:AW159)</f>
        <v>0</v>
      </c>
      <c r="AX157" s="19">
        <f>SUM(AX158:AX159)</f>
        <v>0</v>
      </c>
      <c r="AY157" s="19">
        <f>SUM(AY158:AY159)</f>
        <v>0</v>
      </c>
      <c r="AZ157" s="19"/>
      <c r="BA157" s="19">
        <f t="shared" ref="BA157:CO157" si="422">SUM(BA158:BA159)</f>
        <v>0</v>
      </c>
      <c r="BB157" s="19">
        <f t="shared" si="422"/>
        <v>0</v>
      </c>
      <c r="BC157" s="19">
        <f t="shared" si="422"/>
        <v>0</v>
      </c>
      <c r="BD157" s="19">
        <f t="shared" si="422"/>
        <v>0</v>
      </c>
      <c r="BE157" s="19">
        <f t="shared" si="422"/>
        <v>0</v>
      </c>
      <c r="BF157" s="19">
        <f t="shared" si="422"/>
        <v>0</v>
      </c>
      <c r="BG157" s="19">
        <f t="shared" si="422"/>
        <v>0</v>
      </c>
      <c r="BH157" s="19">
        <f t="shared" si="422"/>
        <v>0</v>
      </c>
      <c r="BI157" s="19">
        <f t="shared" si="422"/>
        <v>0</v>
      </c>
      <c r="BJ157" s="19">
        <f t="shared" si="422"/>
        <v>0</v>
      </c>
      <c r="BK157" s="19">
        <f t="shared" ref="BK157" si="423">SUM(BK158:BK159)</f>
        <v>0</v>
      </c>
      <c r="BL157" s="19">
        <f t="shared" si="422"/>
        <v>0</v>
      </c>
      <c r="BM157" s="19">
        <f t="shared" si="422"/>
        <v>0</v>
      </c>
      <c r="BN157" s="19">
        <f t="shared" si="422"/>
        <v>0</v>
      </c>
      <c r="BO157" s="19">
        <f t="shared" si="422"/>
        <v>0</v>
      </c>
      <c r="BP157" s="19">
        <f t="shared" si="422"/>
        <v>0</v>
      </c>
      <c r="BQ157" s="19">
        <f t="shared" si="422"/>
        <v>0</v>
      </c>
      <c r="BR157" s="19">
        <f t="shared" si="422"/>
        <v>0</v>
      </c>
      <c r="BS157" s="19">
        <f t="shared" si="422"/>
        <v>0</v>
      </c>
      <c r="BT157" s="19">
        <f t="shared" si="422"/>
        <v>0</v>
      </c>
      <c r="BU157" s="19">
        <f t="shared" si="422"/>
        <v>0</v>
      </c>
      <c r="BV157" s="19">
        <f t="shared" si="422"/>
        <v>0</v>
      </c>
      <c r="BW157" s="19">
        <f t="shared" si="422"/>
        <v>0</v>
      </c>
      <c r="BX157" s="19">
        <f t="shared" si="422"/>
        <v>0</v>
      </c>
      <c r="BY157" s="19">
        <f t="shared" si="422"/>
        <v>0</v>
      </c>
      <c r="BZ157" s="19">
        <f t="shared" si="422"/>
        <v>0</v>
      </c>
      <c r="CA157" s="19">
        <f t="shared" si="422"/>
        <v>898652</v>
      </c>
      <c r="CB157" s="19">
        <f t="shared" si="422"/>
        <v>898652</v>
      </c>
      <c r="CC157" s="19">
        <f t="shared" si="422"/>
        <v>63384</v>
      </c>
      <c r="CD157" s="19">
        <f t="shared" si="422"/>
        <v>0</v>
      </c>
      <c r="CE157" s="19">
        <f t="shared" si="422"/>
        <v>63384</v>
      </c>
      <c r="CF157" s="19">
        <f t="shared" si="422"/>
        <v>688321</v>
      </c>
      <c r="CG157" s="19">
        <f t="shared" si="422"/>
        <v>0</v>
      </c>
      <c r="CH157" s="19">
        <f t="shared" si="422"/>
        <v>0</v>
      </c>
      <c r="CI157" s="19">
        <f t="shared" si="422"/>
        <v>688321</v>
      </c>
      <c r="CJ157" s="19">
        <f t="shared" si="422"/>
        <v>0</v>
      </c>
      <c r="CK157" s="19">
        <f t="shared" ref="CK157" si="424">SUM(CK158:CK159)</f>
        <v>0</v>
      </c>
      <c r="CL157" s="19">
        <f t="shared" si="422"/>
        <v>146947</v>
      </c>
      <c r="CM157" s="19">
        <f t="shared" si="422"/>
        <v>0</v>
      </c>
      <c r="CN157" s="19">
        <f t="shared" si="422"/>
        <v>146947</v>
      </c>
      <c r="CO157" s="19">
        <f t="shared" si="422"/>
        <v>0</v>
      </c>
      <c r="CP157" s="19"/>
      <c r="CQ157" s="19"/>
      <c r="CR157" s="19"/>
      <c r="CS157" s="19"/>
      <c r="CT157" s="19">
        <f t="shared" ref="CT157:DA157" si="425">SUM(CT158:CT159)</f>
        <v>0</v>
      </c>
      <c r="CU157" s="19"/>
      <c r="CV157" s="19"/>
      <c r="CW157" s="19"/>
      <c r="CX157" s="19">
        <f t="shared" si="425"/>
        <v>0</v>
      </c>
      <c r="CY157" s="19">
        <f t="shared" si="425"/>
        <v>0</v>
      </c>
      <c r="CZ157" s="19">
        <f t="shared" si="425"/>
        <v>0</v>
      </c>
      <c r="DA157" s="20">
        <f t="shared" si="425"/>
        <v>0</v>
      </c>
    </row>
    <row r="158" spans="1:106" ht="15.75" x14ac:dyDescent="0.25">
      <c r="A158" s="72" t="s">
        <v>1</v>
      </c>
      <c r="B158" s="21" t="s">
        <v>80</v>
      </c>
      <c r="C158" s="22" t="s">
        <v>255</v>
      </c>
      <c r="D158" s="18">
        <f>SUM(E158+CA158+CX158)</f>
        <v>253462</v>
      </c>
      <c r="E158" s="19">
        <f>SUM(F158+BB158)</f>
        <v>253462</v>
      </c>
      <c r="F158" s="19">
        <f t="shared" ref="F158:F159" si="426">SUM(G158+H158+I158+P158+S158+T158+U158+AE158)</f>
        <v>253462</v>
      </c>
      <c r="G158" s="23">
        <v>204768</v>
      </c>
      <c r="H158" s="23">
        <v>48694</v>
      </c>
      <c r="I158" s="19">
        <f t="shared" si="376"/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19">
        <f t="shared" si="377"/>
        <v>0</v>
      </c>
      <c r="Q158" s="19">
        <v>0</v>
      </c>
      <c r="R158" s="23">
        <v>0</v>
      </c>
      <c r="S158" s="23">
        <v>0</v>
      </c>
      <c r="T158" s="23">
        <v>0</v>
      </c>
      <c r="U158" s="19">
        <f t="shared" ref="U158:U159" si="427">SUM(V158:AC158)</f>
        <v>0</v>
      </c>
      <c r="V158" s="23"/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19">
        <v>0</v>
      </c>
      <c r="AE158" s="19">
        <f>SUM(AF158:BA158)</f>
        <v>0</v>
      </c>
      <c r="AF158" s="19">
        <v>0</v>
      </c>
      <c r="AG158" s="19">
        <v>0</v>
      </c>
      <c r="AH158" s="23">
        <v>0</v>
      </c>
      <c r="AI158" s="23">
        <v>0</v>
      </c>
      <c r="AJ158" s="23">
        <v>0</v>
      </c>
      <c r="AK158" s="23">
        <v>0</v>
      </c>
      <c r="AL158" s="23">
        <v>0</v>
      </c>
      <c r="AM158" s="23">
        <v>0</v>
      </c>
      <c r="AN158" s="23">
        <v>0</v>
      </c>
      <c r="AO158" s="23">
        <v>0</v>
      </c>
      <c r="AP158" s="23">
        <v>0</v>
      </c>
      <c r="AQ158" s="23"/>
      <c r="AR158" s="23">
        <v>0</v>
      </c>
      <c r="AS158" s="23">
        <v>0</v>
      </c>
      <c r="AT158" s="23">
        <v>0</v>
      </c>
      <c r="AU158" s="23">
        <v>0</v>
      </c>
      <c r="AV158" s="23">
        <v>0</v>
      </c>
      <c r="AW158" s="23">
        <v>0</v>
      </c>
      <c r="AX158" s="23">
        <v>0</v>
      </c>
      <c r="AY158" s="23">
        <v>0</v>
      </c>
      <c r="AZ158" s="23">
        <v>0</v>
      </c>
      <c r="BA158" s="23">
        <v>0</v>
      </c>
      <c r="BB158" s="19">
        <f>SUM(BC158+BG158+BJ158+BL158+BO158)</f>
        <v>0</v>
      </c>
      <c r="BC158" s="19">
        <f>SUM(BD158:BF158)</f>
        <v>0</v>
      </c>
      <c r="BD158" s="19">
        <v>0</v>
      </c>
      <c r="BE158" s="19">
        <v>0</v>
      </c>
      <c r="BF158" s="19">
        <v>0</v>
      </c>
      <c r="BG158" s="19">
        <f>SUM(BI158:BI158)</f>
        <v>0</v>
      </c>
      <c r="BH158" s="19">
        <v>0</v>
      </c>
      <c r="BI158" s="19">
        <v>0</v>
      </c>
      <c r="BJ158" s="19">
        <v>0</v>
      </c>
      <c r="BK158" s="19">
        <v>0</v>
      </c>
      <c r="BL158" s="19">
        <f t="shared" si="379"/>
        <v>0</v>
      </c>
      <c r="BM158" s="19">
        <v>0</v>
      </c>
      <c r="BN158" s="19">
        <v>0</v>
      </c>
      <c r="BO158" s="19">
        <f>SUM(BP158:BZ158)</f>
        <v>0</v>
      </c>
      <c r="BP158" s="19">
        <v>0</v>
      </c>
      <c r="BQ158" s="19">
        <v>0</v>
      </c>
      <c r="BR158" s="19">
        <v>0</v>
      </c>
      <c r="BS158" s="19">
        <v>0</v>
      </c>
      <c r="BT158" s="19">
        <v>0</v>
      </c>
      <c r="BU158" s="19">
        <v>0</v>
      </c>
      <c r="BV158" s="19">
        <v>0</v>
      </c>
      <c r="BW158" s="19">
        <v>0</v>
      </c>
      <c r="BX158" s="19">
        <v>0</v>
      </c>
      <c r="BY158" s="19">
        <v>0</v>
      </c>
      <c r="BZ158" s="19">
        <v>0</v>
      </c>
      <c r="CA158" s="19">
        <f>SUM(CB158+CT158)</f>
        <v>0</v>
      </c>
      <c r="CB158" s="19">
        <f>SUM(CC158+CF158+CL158)</f>
        <v>0</v>
      </c>
      <c r="CC158" s="19">
        <f t="shared" si="380"/>
        <v>0</v>
      </c>
      <c r="CD158" s="19">
        <v>0</v>
      </c>
      <c r="CE158" s="23">
        <v>0</v>
      </c>
      <c r="CF158" s="19">
        <f>SUM(CG158:CK158)</f>
        <v>0</v>
      </c>
      <c r="CG158" s="19">
        <v>0</v>
      </c>
      <c r="CH158" s="19">
        <v>0</v>
      </c>
      <c r="CI158" s="19">
        <v>0</v>
      </c>
      <c r="CJ158" s="19">
        <v>0</v>
      </c>
      <c r="CK158" s="19">
        <v>0</v>
      </c>
      <c r="CL158" s="19">
        <f>SUM(CM158:CQ158)</f>
        <v>0</v>
      </c>
      <c r="CM158" s="19">
        <v>0</v>
      </c>
      <c r="CN158" s="19">
        <v>0</v>
      </c>
      <c r="CO158" s="19">
        <v>0</v>
      </c>
      <c r="CP158" s="19"/>
      <c r="CQ158" s="19"/>
      <c r="CR158" s="19"/>
      <c r="CS158" s="19"/>
      <c r="CT158" s="19">
        <v>0</v>
      </c>
      <c r="CU158" s="19"/>
      <c r="CV158" s="19"/>
      <c r="CW158" s="19"/>
      <c r="CX158" s="19">
        <f t="shared" si="382"/>
        <v>0</v>
      </c>
      <c r="CY158" s="19">
        <f t="shared" si="383"/>
        <v>0</v>
      </c>
      <c r="CZ158" s="19">
        <v>0</v>
      </c>
      <c r="DA158" s="20">
        <v>0</v>
      </c>
    </row>
    <row r="159" spans="1:106" ht="31.5" x14ac:dyDescent="0.25">
      <c r="A159" s="72" t="s">
        <v>1</v>
      </c>
      <c r="B159" s="21" t="s">
        <v>104</v>
      </c>
      <c r="C159" s="22" t="s">
        <v>640</v>
      </c>
      <c r="D159" s="18">
        <f>SUM(E159+CA159+CX159)</f>
        <v>10522572</v>
      </c>
      <c r="E159" s="19">
        <f>SUM(F159+BB159)</f>
        <v>9623920</v>
      </c>
      <c r="F159" s="19">
        <f t="shared" si="426"/>
        <v>9623920</v>
      </c>
      <c r="G159" s="23">
        <v>5570002</v>
      </c>
      <c r="H159" s="23">
        <v>1323814</v>
      </c>
      <c r="I159" s="19">
        <f t="shared" si="376"/>
        <v>31492</v>
      </c>
      <c r="J159" s="23">
        <v>0</v>
      </c>
      <c r="K159" s="23">
        <v>0</v>
      </c>
      <c r="L159" s="23">
        <v>0</v>
      </c>
      <c r="M159" s="23">
        <v>0</v>
      </c>
      <c r="N159" s="23">
        <v>31492</v>
      </c>
      <c r="O159" s="23">
        <f>1497-1497</f>
        <v>0</v>
      </c>
      <c r="P159" s="19">
        <f t="shared" si="377"/>
        <v>0</v>
      </c>
      <c r="Q159" s="19"/>
      <c r="R159" s="23">
        <v>0</v>
      </c>
      <c r="S159" s="23">
        <v>0</v>
      </c>
      <c r="T159" s="23">
        <v>17941</v>
      </c>
      <c r="U159" s="19">
        <f t="shared" si="427"/>
        <v>4238</v>
      </c>
      <c r="V159" s="23">
        <v>4238</v>
      </c>
      <c r="W159" s="23">
        <v>0</v>
      </c>
      <c r="X159" s="23">
        <v>0</v>
      </c>
      <c r="Y159" s="23">
        <v>0</v>
      </c>
      <c r="Z159" s="23">
        <v>0</v>
      </c>
      <c r="AA159" s="23">
        <v>0</v>
      </c>
      <c r="AB159" s="23">
        <v>0</v>
      </c>
      <c r="AC159" s="23">
        <v>0</v>
      </c>
      <c r="AD159" s="19">
        <v>0</v>
      </c>
      <c r="AE159" s="19">
        <f>SUM(AF159:BA159)</f>
        <v>2676433</v>
      </c>
      <c r="AF159" s="19">
        <v>0</v>
      </c>
      <c r="AG159" s="19">
        <v>0</v>
      </c>
      <c r="AH159" s="23">
        <v>0</v>
      </c>
      <c r="AI159" s="23">
        <v>0</v>
      </c>
      <c r="AJ159" s="23">
        <v>0</v>
      </c>
      <c r="AK159" s="23">
        <v>0</v>
      </c>
      <c r="AL159" s="23">
        <v>0</v>
      </c>
      <c r="AM159" s="23">
        <v>416</v>
      </c>
      <c r="AN159" s="23">
        <v>2676017</v>
      </c>
      <c r="AO159" s="23">
        <v>0</v>
      </c>
      <c r="AP159" s="23">
        <v>0</v>
      </c>
      <c r="AQ159" s="23"/>
      <c r="AR159" s="23">
        <v>0</v>
      </c>
      <c r="AS159" s="23">
        <v>0</v>
      </c>
      <c r="AT159" s="23">
        <v>0</v>
      </c>
      <c r="AU159" s="23">
        <v>0</v>
      </c>
      <c r="AV159" s="23">
        <v>0</v>
      </c>
      <c r="AW159" s="23">
        <v>0</v>
      </c>
      <c r="AX159" s="23">
        <v>0</v>
      </c>
      <c r="AY159" s="23">
        <v>0</v>
      </c>
      <c r="AZ159" s="23">
        <v>0</v>
      </c>
      <c r="BA159" s="23">
        <v>0</v>
      </c>
      <c r="BB159" s="19">
        <f>SUM(BC159+BG159+BJ159+BL159+BO159)</f>
        <v>0</v>
      </c>
      <c r="BC159" s="19">
        <f>SUM(BD159:BF159)</f>
        <v>0</v>
      </c>
      <c r="BD159" s="19">
        <v>0</v>
      </c>
      <c r="BE159" s="19">
        <v>0</v>
      </c>
      <c r="BF159" s="19">
        <v>0</v>
      </c>
      <c r="BG159" s="19">
        <f>SUM(BI159:BI159)</f>
        <v>0</v>
      </c>
      <c r="BH159" s="19">
        <v>0</v>
      </c>
      <c r="BI159" s="19">
        <v>0</v>
      </c>
      <c r="BJ159" s="19">
        <v>0</v>
      </c>
      <c r="BK159" s="19">
        <v>0</v>
      </c>
      <c r="BL159" s="19">
        <f t="shared" si="379"/>
        <v>0</v>
      </c>
      <c r="BM159" s="19">
        <v>0</v>
      </c>
      <c r="BN159" s="19">
        <v>0</v>
      </c>
      <c r="BO159" s="19">
        <f>SUM(BP159:BZ159)</f>
        <v>0</v>
      </c>
      <c r="BP159" s="19">
        <v>0</v>
      </c>
      <c r="BQ159" s="19">
        <v>0</v>
      </c>
      <c r="BR159" s="19">
        <v>0</v>
      </c>
      <c r="BS159" s="19">
        <v>0</v>
      </c>
      <c r="BT159" s="19">
        <v>0</v>
      </c>
      <c r="BU159" s="19">
        <v>0</v>
      </c>
      <c r="BV159" s="19">
        <v>0</v>
      </c>
      <c r="BW159" s="19">
        <v>0</v>
      </c>
      <c r="BX159" s="19">
        <v>0</v>
      </c>
      <c r="BY159" s="19">
        <v>0</v>
      </c>
      <c r="BZ159" s="19">
        <v>0</v>
      </c>
      <c r="CA159" s="19">
        <f>SUM(CB159+CT159)</f>
        <v>898652</v>
      </c>
      <c r="CB159" s="19">
        <f>SUM(CC159+CF159+CL159)</f>
        <v>898652</v>
      </c>
      <c r="CC159" s="19">
        <f t="shared" si="380"/>
        <v>63384</v>
      </c>
      <c r="CD159" s="19">
        <v>0</v>
      </c>
      <c r="CE159" s="23">
        <v>63384</v>
      </c>
      <c r="CF159" s="19">
        <f>SUM(CG159:CK159)</f>
        <v>688321</v>
      </c>
      <c r="CG159" s="19">
        <v>0</v>
      </c>
      <c r="CH159" s="19">
        <v>0</v>
      </c>
      <c r="CI159" s="19">
        <v>688321</v>
      </c>
      <c r="CJ159" s="19">
        <v>0</v>
      </c>
      <c r="CK159" s="19">
        <v>0</v>
      </c>
      <c r="CL159" s="19">
        <f>SUM(CM159:CQ159)</f>
        <v>146947</v>
      </c>
      <c r="CM159" s="19"/>
      <c r="CN159" s="19">
        <v>146947</v>
      </c>
      <c r="CO159" s="19">
        <v>0</v>
      </c>
      <c r="CP159" s="19"/>
      <c r="CQ159" s="19"/>
      <c r="CR159" s="19"/>
      <c r="CS159" s="19"/>
      <c r="CT159" s="19">
        <v>0</v>
      </c>
      <c r="CU159" s="19"/>
      <c r="CV159" s="19"/>
      <c r="CW159" s="19"/>
      <c r="CX159" s="19">
        <f t="shared" si="382"/>
        <v>0</v>
      </c>
      <c r="CY159" s="19">
        <f t="shared" si="383"/>
        <v>0</v>
      </c>
      <c r="CZ159" s="19">
        <v>0</v>
      </c>
      <c r="DA159" s="20">
        <v>0</v>
      </c>
    </row>
    <row r="160" spans="1:106" ht="15.75" x14ac:dyDescent="0.25">
      <c r="A160" s="71" t="s">
        <v>593</v>
      </c>
      <c r="B160" s="16" t="s">
        <v>1</v>
      </c>
      <c r="C160" s="17" t="s">
        <v>594</v>
      </c>
      <c r="D160" s="18">
        <f>D161</f>
        <v>488890</v>
      </c>
      <c r="E160" s="19">
        <f t="shared" ref="E160" si="428">E161</f>
        <v>457008</v>
      </c>
      <c r="F160" s="19">
        <f t="shared" ref="F160" si="429">F161</f>
        <v>457008</v>
      </c>
      <c r="G160" s="23">
        <f t="shared" ref="G160" si="430">G161</f>
        <v>355815</v>
      </c>
      <c r="H160" s="23">
        <f t="shared" ref="H160" si="431">H161</f>
        <v>84355</v>
      </c>
      <c r="I160" s="19">
        <f t="shared" ref="I160" si="432">I161</f>
        <v>0</v>
      </c>
      <c r="J160" s="23">
        <f t="shared" ref="J160" si="433">J161</f>
        <v>0</v>
      </c>
      <c r="K160" s="23">
        <f t="shared" ref="K160" si="434">K161</f>
        <v>0</v>
      </c>
      <c r="L160" s="23">
        <f t="shared" ref="L160" si="435">L161</f>
        <v>0</v>
      </c>
      <c r="M160" s="23">
        <f t="shared" ref="M160" si="436">M161</f>
        <v>0</v>
      </c>
      <c r="N160" s="23">
        <f t="shared" ref="N160" si="437">N161</f>
        <v>0</v>
      </c>
      <c r="O160" s="23">
        <f t="shared" ref="O160" si="438">O161</f>
        <v>0</v>
      </c>
      <c r="P160" s="19">
        <f t="shared" ref="P160" si="439">P161</f>
        <v>0</v>
      </c>
      <c r="Q160" s="19">
        <f t="shared" ref="Q160" si="440">Q161</f>
        <v>0</v>
      </c>
      <c r="R160" s="23">
        <f t="shared" ref="R160" si="441">R161</f>
        <v>0</v>
      </c>
      <c r="S160" s="23">
        <f t="shared" ref="S160" si="442">S161</f>
        <v>0</v>
      </c>
      <c r="T160" s="23">
        <f t="shared" ref="T160" si="443">T161</f>
        <v>11849</v>
      </c>
      <c r="U160" s="19">
        <f t="shared" ref="U160" si="444">U161</f>
        <v>4989</v>
      </c>
      <c r="V160" s="23">
        <f t="shared" ref="V160" si="445">V161</f>
        <v>1123</v>
      </c>
      <c r="W160" s="23">
        <f t="shared" ref="W160" si="446">W161</f>
        <v>1993</v>
      </c>
      <c r="X160" s="23">
        <f t="shared" ref="X160" si="447">X161</f>
        <v>1659</v>
      </c>
      <c r="Y160" s="23">
        <f t="shared" ref="Y160" si="448">Y161</f>
        <v>214</v>
      </c>
      <c r="Z160" s="23">
        <f t="shared" ref="Z160" si="449">Z161</f>
        <v>0</v>
      </c>
      <c r="AA160" s="23">
        <f t="shared" ref="AA160" si="450">AA161</f>
        <v>0</v>
      </c>
      <c r="AB160" s="23">
        <f t="shared" ref="AB160" si="451">AB161</f>
        <v>0</v>
      </c>
      <c r="AC160" s="23">
        <f t="shared" ref="AC160:AD160" si="452">AC161</f>
        <v>0</v>
      </c>
      <c r="AD160" s="19">
        <f t="shared" si="452"/>
        <v>0</v>
      </c>
      <c r="AE160" s="19">
        <f t="shared" ref="AE160" si="453">AE161</f>
        <v>0</v>
      </c>
      <c r="AF160" s="19">
        <f t="shared" ref="AF160" si="454">AF161</f>
        <v>0</v>
      </c>
      <c r="AG160" s="19">
        <f t="shared" ref="AG160" si="455">AG161</f>
        <v>0</v>
      </c>
      <c r="AH160" s="23">
        <f t="shared" ref="AH160" si="456">AH161</f>
        <v>0</v>
      </c>
      <c r="AI160" s="23">
        <f t="shared" ref="AI160" si="457">AI161</f>
        <v>0</v>
      </c>
      <c r="AJ160" s="23">
        <f t="shared" ref="AJ160" si="458">AJ161</f>
        <v>0</v>
      </c>
      <c r="AK160" s="23">
        <f t="shared" ref="AK160" si="459">AK161</f>
        <v>0</v>
      </c>
      <c r="AL160" s="23">
        <f t="shared" ref="AL160" si="460">AL161</f>
        <v>0</v>
      </c>
      <c r="AM160" s="23">
        <f t="shared" ref="AM160" si="461">AM161</f>
        <v>0</v>
      </c>
      <c r="AN160" s="23">
        <f t="shared" ref="AN160" si="462">AN161</f>
        <v>0</v>
      </c>
      <c r="AO160" s="23">
        <f t="shared" ref="AO160" si="463">AO161</f>
        <v>0</v>
      </c>
      <c r="AP160" s="23">
        <f t="shared" ref="AP160" si="464">AP161</f>
        <v>0</v>
      </c>
      <c r="AQ160" s="23"/>
      <c r="AR160" s="23">
        <f t="shared" ref="AR160" si="465">AR161</f>
        <v>0</v>
      </c>
      <c r="AS160" s="23">
        <f t="shared" ref="AS160" si="466">AS161</f>
        <v>0</v>
      </c>
      <c r="AT160" s="23">
        <f t="shared" ref="AT160" si="467">AT161</f>
        <v>0</v>
      </c>
      <c r="AU160" s="23">
        <f t="shared" ref="AU160" si="468">AU161</f>
        <v>0</v>
      </c>
      <c r="AV160" s="23">
        <f t="shared" ref="AV160" si="469">AV161</f>
        <v>0</v>
      </c>
      <c r="AW160" s="23">
        <f t="shared" ref="AW160" si="470">AW161</f>
        <v>0</v>
      </c>
      <c r="AX160" s="23">
        <f t="shared" ref="AX160" si="471">AX161</f>
        <v>0</v>
      </c>
      <c r="AY160" s="23">
        <f t="shared" ref="AY160" si="472">AY161</f>
        <v>0</v>
      </c>
      <c r="AZ160" s="23">
        <f t="shared" ref="AZ160" si="473">AZ161</f>
        <v>0</v>
      </c>
      <c r="BA160" s="23">
        <f t="shared" ref="BA160" si="474">BA161</f>
        <v>0</v>
      </c>
      <c r="BB160" s="19">
        <f t="shared" ref="BB160" si="475">BB161</f>
        <v>0</v>
      </c>
      <c r="BC160" s="19">
        <f t="shared" ref="BC160" si="476">BC161</f>
        <v>0</v>
      </c>
      <c r="BD160" s="19">
        <f t="shared" ref="BD160" si="477">BD161</f>
        <v>0</v>
      </c>
      <c r="BE160" s="19">
        <f t="shared" ref="BE160" si="478">BE161</f>
        <v>0</v>
      </c>
      <c r="BF160" s="19">
        <f t="shared" ref="BF160" si="479">BF161</f>
        <v>0</v>
      </c>
      <c r="BG160" s="19">
        <f t="shared" ref="BG160" si="480">BG161</f>
        <v>0</v>
      </c>
      <c r="BH160" s="19">
        <f t="shared" ref="BH160" si="481">BH161</f>
        <v>0</v>
      </c>
      <c r="BI160" s="19">
        <f t="shared" ref="BI160" si="482">BI161</f>
        <v>0</v>
      </c>
      <c r="BJ160" s="19">
        <f t="shared" ref="BJ160" si="483">BJ161</f>
        <v>0</v>
      </c>
      <c r="BK160" s="19">
        <f t="shared" ref="BK160:BM160" si="484">BK161</f>
        <v>0</v>
      </c>
      <c r="BL160" s="19">
        <f t="shared" ref="BL160" si="485">BL161</f>
        <v>0</v>
      </c>
      <c r="BM160" s="19">
        <f t="shared" si="484"/>
        <v>0</v>
      </c>
      <c r="BN160" s="19">
        <f t="shared" ref="BN160" si="486">BN161</f>
        <v>0</v>
      </c>
      <c r="BO160" s="19">
        <f t="shared" ref="BO160" si="487">BO161</f>
        <v>0</v>
      </c>
      <c r="BP160" s="19">
        <f t="shared" ref="BP160" si="488">BP161</f>
        <v>0</v>
      </c>
      <c r="BQ160" s="19">
        <f t="shared" ref="BQ160" si="489">BQ161</f>
        <v>0</v>
      </c>
      <c r="BR160" s="19">
        <f t="shared" ref="BR160" si="490">BR161</f>
        <v>0</v>
      </c>
      <c r="BS160" s="19">
        <f t="shared" ref="BS160" si="491">BS161</f>
        <v>0</v>
      </c>
      <c r="BT160" s="19">
        <f t="shared" ref="BT160" si="492">BT161</f>
        <v>0</v>
      </c>
      <c r="BU160" s="19">
        <f t="shared" ref="BU160" si="493">BU161</f>
        <v>0</v>
      </c>
      <c r="BV160" s="19">
        <f t="shared" ref="BV160" si="494">BV161</f>
        <v>0</v>
      </c>
      <c r="BW160" s="19">
        <f t="shared" ref="BW160" si="495">BW161</f>
        <v>0</v>
      </c>
      <c r="BX160" s="19">
        <f t="shared" ref="BX160" si="496">BX161</f>
        <v>0</v>
      </c>
      <c r="BY160" s="19">
        <f t="shared" ref="BY160" si="497">BY161</f>
        <v>0</v>
      </c>
      <c r="BZ160" s="19">
        <f t="shared" ref="BZ160" si="498">BZ161</f>
        <v>0</v>
      </c>
      <c r="CA160" s="19">
        <f t="shared" ref="CA160" si="499">CA161</f>
        <v>31882</v>
      </c>
      <c r="CB160" s="19">
        <f t="shared" ref="CB160" si="500">CB161</f>
        <v>31882</v>
      </c>
      <c r="CC160" s="19">
        <f t="shared" ref="CC160" si="501">CC161</f>
        <v>31882</v>
      </c>
      <c r="CD160" s="19">
        <f t="shared" ref="CD160" si="502">CD161</f>
        <v>0</v>
      </c>
      <c r="CE160" s="19">
        <f t="shared" ref="CE160" si="503">CE161</f>
        <v>31882</v>
      </c>
      <c r="CF160" s="19">
        <f t="shared" ref="CF160" si="504">CF161</f>
        <v>0</v>
      </c>
      <c r="CG160" s="19">
        <f t="shared" ref="CG160" si="505">CG161</f>
        <v>0</v>
      </c>
      <c r="CH160" s="19">
        <f t="shared" ref="CH160" si="506">CH161</f>
        <v>0</v>
      </c>
      <c r="CI160" s="19">
        <f t="shared" ref="CI160" si="507">CI161</f>
        <v>0</v>
      </c>
      <c r="CJ160" s="19">
        <f t="shared" ref="CJ160" si="508">CJ161</f>
        <v>0</v>
      </c>
      <c r="CK160" s="19">
        <f t="shared" ref="CK160" si="509">CK161</f>
        <v>0</v>
      </c>
      <c r="CL160" s="19">
        <f t="shared" ref="CL160" si="510">CL161</f>
        <v>0</v>
      </c>
      <c r="CM160" s="19">
        <f t="shared" ref="CM160" si="511">CM161</f>
        <v>0</v>
      </c>
      <c r="CN160" s="19">
        <f t="shared" ref="CN160" si="512">CN161</f>
        <v>0</v>
      </c>
      <c r="CO160" s="19">
        <f t="shared" ref="CO160" si="513">CO161</f>
        <v>0</v>
      </c>
      <c r="CP160" s="19">
        <f t="shared" ref="CP160" si="514">CP161</f>
        <v>0</v>
      </c>
      <c r="CQ160" s="19">
        <f t="shared" ref="CQ160" si="515">CQ161</f>
        <v>0</v>
      </c>
      <c r="CR160" s="19"/>
      <c r="CS160" s="19"/>
      <c r="CT160" s="19">
        <f t="shared" ref="CT160" si="516">CT161</f>
        <v>0</v>
      </c>
      <c r="CU160" s="19"/>
      <c r="CV160" s="19"/>
      <c r="CW160" s="19"/>
      <c r="CX160" s="19">
        <f t="shared" ref="CX160" si="517">CX161</f>
        <v>0</v>
      </c>
      <c r="CY160" s="19">
        <f t="shared" ref="CY160" si="518">CY161</f>
        <v>0</v>
      </c>
      <c r="CZ160" s="19">
        <f t="shared" ref="CZ160" si="519">CZ161</f>
        <v>0</v>
      </c>
      <c r="DA160" s="20">
        <f t="shared" ref="DA160" si="520">DA161</f>
        <v>0</v>
      </c>
    </row>
    <row r="161" spans="1:106" ht="31.5" x14ac:dyDescent="0.25">
      <c r="A161" s="72"/>
      <c r="B161" s="33" t="s">
        <v>88</v>
      </c>
      <c r="C161" s="32" t="s">
        <v>625</v>
      </c>
      <c r="D161" s="18">
        <f>SUM(E161+CA161+CX161)</f>
        <v>488890</v>
      </c>
      <c r="E161" s="19">
        <f>SUM(F161+BB161)</f>
        <v>457008</v>
      </c>
      <c r="F161" s="19">
        <f>SUM(G161+H161+I161+P161+S161+T161+U161+AE161)</f>
        <v>457008</v>
      </c>
      <c r="G161" s="23">
        <v>355815</v>
      </c>
      <c r="H161" s="23">
        <v>84355</v>
      </c>
      <c r="I161" s="19">
        <f t="shared" ref="I161" si="521">SUM(J161:O161)</f>
        <v>0</v>
      </c>
      <c r="J161" s="23">
        <v>0</v>
      </c>
      <c r="K161" s="23">
        <v>0</v>
      </c>
      <c r="L161" s="23">
        <v>0</v>
      </c>
      <c r="M161" s="23">
        <v>0</v>
      </c>
      <c r="N161" s="23"/>
      <c r="O161" s="23">
        <f>1497-1497</f>
        <v>0</v>
      </c>
      <c r="P161" s="19">
        <f t="shared" ref="P161" si="522">SUM(Q161:R161)</f>
        <v>0</v>
      </c>
      <c r="Q161" s="19"/>
      <c r="R161" s="23">
        <v>0</v>
      </c>
      <c r="S161" s="23">
        <v>0</v>
      </c>
      <c r="T161" s="23">
        <f>11879-30</f>
        <v>11849</v>
      </c>
      <c r="U161" s="19">
        <f t="shared" ref="U161" si="523">SUM(V161:AC161)</f>
        <v>4989</v>
      </c>
      <c r="V161" s="23">
        <v>1123</v>
      </c>
      <c r="W161" s="23">
        <v>1993</v>
      </c>
      <c r="X161" s="23">
        <v>1659</v>
      </c>
      <c r="Y161" s="23">
        <f>184+30</f>
        <v>214</v>
      </c>
      <c r="Z161" s="23">
        <v>0</v>
      </c>
      <c r="AA161" s="23">
        <v>0</v>
      </c>
      <c r="AB161" s="23">
        <v>0</v>
      </c>
      <c r="AC161" s="23">
        <v>0</v>
      </c>
      <c r="AD161" s="19">
        <v>0</v>
      </c>
      <c r="AE161" s="19">
        <f>SUM(AF161:BA161)</f>
        <v>0</v>
      </c>
      <c r="AF161" s="19">
        <v>0</v>
      </c>
      <c r="AG161" s="19">
        <v>0</v>
      </c>
      <c r="AH161" s="23">
        <v>0</v>
      </c>
      <c r="AI161" s="23">
        <v>0</v>
      </c>
      <c r="AJ161" s="23">
        <v>0</v>
      </c>
      <c r="AK161" s="23">
        <v>0</v>
      </c>
      <c r="AL161" s="23">
        <v>0</v>
      </c>
      <c r="AM161" s="23">
        <v>0</v>
      </c>
      <c r="AN161" s="23"/>
      <c r="AO161" s="23">
        <v>0</v>
      </c>
      <c r="AP161" s="23">
        <v>0</v>
      </c>
      <c r="AQ161" s="23"/>
      <c r="AR161" s="23">
        <v>0</v>
      </c>
      <c r="AS161" s="23">
        <v>0</v>
      </c>
      <c r="AT161" s="23">
        <v>0</v>
      </c>
      <c r="AU161" s="23">
        <v>0</v>
      </c>
      <c r="AV161" s="23">
        <v>0</v>
      </c>
      <c r="AW161" s="23">
        <v>0</v>
      </c>
      <c r="AX161" s="23">
        <v>0</v>
      </c>
      <c r="AY161" s="23">
        <v>0</v>
      </c>
      <c r="AZ161" s="23">
        <v>0</v>
      </c>
      <c r="BA161" s="23">
        <v>0</v>
      </c>
      <c r="BB161" s="19">
        <f>SUM(BC161+BG161+BJ161+BL161+BO161)</f>
        <v>0</v>
      </c>
      <c r="BC161" s="19">
        <f>SUM(BD161:BF161)</f>
        <v>0</v>
      </c>
      <c r="BD161" s="19">
        <v>0</v>
      </c>
      <c r="BE161" s="19">
        <v>0</v>
      </c>
      <c r="BF161" s="19">
        <v>0</v>
      </c>
      <c r="BG161" s="19">
        <f>SUM(BI161:BI161)</f>
        <v>0</v>
      </c>
      <c r="BH161" s="19">
        <v>0</v>
      </c>
      <c r="BI161" s="19">
        <v>0</v>
      </c>
      <c r="BJ161" s="19">
        <v>0</v>
      </c>
      <c r="BK161" s="19">
        <v>0</v>
      </c>
      <c r="BL161" s="19">
        <f t="shared" ref="BL161" si="524">SUM(BM161)</f>
        <v>0</v>
      </c>
      <c r="BM161" s="19">
        <v>0</v>
      </c>
      <c r="BN161" s="19">
        <v>0</v>
      </c>
      <c r="BO161" s="19">
        <f>SUM(BP161:BZ161)</f>
        <v>0</v>
      </c>
      <c r="BP161" s="19">
        <v>0</v>
      </c>
      <c r="BQ161" s="19">
        <v>0</v>
      </c>
      <c r="BR161" s="19">
        <v>0</v>
      </c>
      <c r="BS161" s="19">
        <v>0</v>
      </c>
      <c r="BT161" s="19">
        <v>0</v>
      </c>
      <c r="BU161" s="19">
        <v>0</v>
      </c>
      <c r="BV161" s="19">
        <v>0</v>
      </c>
      <c r="BW161" s="19">
        <v>0</v>
      </c>
      <c r="BX161" s="19">
        <v>0</v>
      </c>
      <c r="BY161" s="19">
        <v>0</v>
      </c>
      <c r="BZ161" s="19">
        <v>0</v>
      </c>
      <c r="CA161" s="19">
        <f>SUM(CB161+CT161)</f>
        <v>31882</v>
      </c>
      <c r="CB161" s="19">
        <f>SUM(CC161+CF161+CL161)</f>
        <v>31882</v>
      </c>
      <c r="CC161" s="19">
        <f t="shared" ref="CC161" si="525">SUM(CD161:CE161)</f>
        <v>31882</v>
      </c>
      <c r="CD161" s="19">
        <v>0</v>
      </c>
      <c r="CE161" s="23">
        <v>31882</v>
      </c>
      <c r="CF161" s="19">
        <f>SUM(CG161:CK161)</f>
        <v>0</v>
      </c>
      <c r="CG161" s="19">
        <v>0</v>
      </c>
      <c r="CH161" s="19">
        <v>0</v>
      </c>
      <c r="CI161" s="19">
        <v>0</v>
      </c>
      <c r="CJ161" s="19">
        <v>0</v>
      </c>
      <c r="CK161" s="19">
        <v>0</v>
      </c>
      <c r="CL161" s="19">
        <f>SUM(CM161:CQ161)</f>
        <v>0</v>
      </c>
      <c r="CM161" s="19"/>
      <c r="CN161" s="19"/>
      <c r="CO161" s="19">
        <v>0</v>
      </c>
      <c r="CP161" s="19"/>
      <c r="CQ161" s="19"/>
      <c r="CR161" s="19"/>
      <c r="CS161" s="19"/>
      <c r="CT161" s="19">
        <v>0</v>
      </c>
      <c r="CU161" s="19"/>
      <c r="CV161" s="19"/>
      <c r="CW161" s="19"/>
      <c r="CX161" s="19">
        <f t="shared" ref="CX161" si="526">SUM(CY161)</f>
        <v>0</v>
      </c>
      <c r="CY161" s="19">
        <f t="shared" ref="CY161" si="527">SUM(CZ161:DA161)</f>
        <v>0</v>
      </c>
      <c r="CZ161" s="19">
        <v>0</v>
      </c>
      <c r="DA161" s="20">
        <v>0</v>
      </c>
    </row>
    <row r="162" spans="1:106" s="86" customFormat="1" ht="15.75" x14ac:dyDescent="0.25">
      <c r="A162" s="73" t="s">
        <v>256</v>
      </c>
      <c r="B162" s="25" t="s">
        <v>1</v>
      </c>
      <c r="C162" s="26" t="s">
        <v>257</v>
      </c>
      <c r="D162" s="27">
        <f>SUM(D163+D165+D168+D171+D173)</f>
        <v>949733840</v>
      </c>
      <c r="E162" s="27">
        <f t="shared" ref="E162:BU162" si="528">SUM(E163+E165+E168+E171+E173)</f>
        <v>946391065</v>
      </c>
      <c r="F162" s="27">
        <f t="shared" si="528"/>
        <v>944181711</v>
      </c>
      <c r="G162" s="27">
        <f t="shared" si="528"/>
        <v>541577060</v>
      </c>
      <c r="H162" s="27">
        <f t="shared" si="528"/>
        <v>127031317</v>
      </c>
      <c r="I162" s="27">
        <f t="shared" si="528"/>
        <v>150775661</v>
      </c>
      <c r="J162" s="27">
        <f t="shared" si="528"/>
        <v>112145125</v>
      </c>
      <c r="K162" s="27">
        <f t="shared" si="528"/>
        <v>1257658</v>
      </c>
      <c r="L162" s="27">
        <f t="shared" si="528"/>
        <v>17553879</v>
      </c>
      <c r="M162" s="27">
        <f t="shared" si="528"/>
        <v>4220</v>
      </c>
      <c r="N162" s="27">
        <f t="shared" si="528"/>
        <v>17156775</v>
      </c>
      <c r="O162" s="27">
        <f t="shared" si="528"/>
        <v>2658004</v>
      </c>
      <c r="P162" s="27">
        <f t="shared" si="528"/>
        <v>2329</v>
      </c>
      <c r="Q162" s="27">
        <f t="shared" si="528"/>
        <v>1310</v>
      </c>
      <c r="R162" s="27">
        <f t="shared" si="528"/>
        <v>1019</v>
      </c>
      <c r="S162" s="27">
        <f t="shared" si="528"/>
        <v>33187</v>
      </c>
      <c r="T162" s="27">
        <f t="shared" si="528"/>
        <v>1748202</v>
      </c>
      <c r="U162" s="27">
        <f t="shared" si="528"/>
        <v>24820360</v>
      </c>
      <c r="V162" s="27">
        <f t="shared" si="528"/>
        <v>737079</v>
      </c>
      <c r="W162" s="27">
        <f t="shared" si="528"/>
        <v>11326800</v>
      </c>
      <c r="X162" s="27">
        <f t="shared" si="528"/>
        <v>6965440</v>
      </c>
      <c r="Y162" s="27">
        <f t="shared" si="528"/>
        <v>4848261</v>
      </c>
      <c r="Z162" s="27">
        <f t="shared" si="528"/>
        <v>787824</v>
      </c>
      <c r="AA162" s="27">
        <f t="shared" si="528"/>
        <v>0</v>
      </c>
      <c r="AB162" s="27">
        <f t="shared" si="528"/>
        <v>0</v>
      </c>
      <c r="AC162" s="27">
        <f t="shared" si="528"/>
        <v>154956</v>
      </c>
      <c r="AD162" s="27">
        <f t="shared" ref="AD162" si="529">SUM(AD163+AD165+AD168+AD171+AD173)</f>
        <v>0</v>
      </c>
      <c r="AE162" s="27">
        <f t="shared" si="528"/>
        <v>98193595</v>
      </c>
      <c r="AF162" s="27">
        <f t="shared" si="528"/>
        <v>0</v>
      </c>
      <c r="AG162" s="27">
        <f t="shared" si="528"/>
        <v>0</v>
      </c>
      <c r="AH162" s="27">
        <f t="shared" si="528"/>
        <v>1242921</v>
      </c>
      <c r="AI162" s="27">
        <f t="shared" si="528"/>
        <v>1147096</v>
      </c>
      <c r="AJ162" s="27">
        <f t="shared" si="528"/>
        <v>0</v>
      </c>
      <c r="AK162" s="27">
        <f t="shared" si="528"/>
        <v>8228</v>
      </c>
      <c r="AL162" s="27">
        <f t="shared" si="528"/>
        <v>0</v>
      </c>
      <c r="AM162" s="27">
        <f t="shared" si="528"/>
        <v>459701</v>
      </c>
      <c r="AN162" s="27">
        <f t="shared" si="528"/>
        <v>195881</v>
      </c>
      <c r="AO162" s="27">
        <f t="shared" si="528"/>
        <v>0</v>
      </c>
      <c r="AP162" s="27">
        <f t="shared" si="528"/>
        <v>4155</v>
      </c>
      <c r="AQ162" s="27"/>
      <c r="AR162" s="27">
        <f t="shared" si="528"/>
        <v>0</v>
      </c>
      <c r="AS162" s="27">
        <f t="shared" si="528"/>
        <v>1533199</v>
      </c>
      <c r="AT162" s="27">
        <f t="shared" si="528"/>
        <v>127222</v>
      </c>
      <c r="AU162" s="27">
        <f t="shared" si="528"/>
        <v>0</v>
      </c>
      <c r="AV162" s="27">
        <f t="shared" si="528"/>
        <v>1832991</v>
      </c>
      <c r="AW162" s="27">
        <f t="shared" si="528"/>
        <v>7108171</v>
      </c>
      <c r="AX162" s="27">
        <f t="shared" si="528"/>
        <v>0</v>
      </c>
      <c r="AY162" s="27">
        <f t="shared" si="528"/>
        <v>0</v>
      </c>
      <c r="AZ162" s="27">
        <f t="shared" ref="AZ162" si="530">SUM(AZ163+AZ165+AZ168+AZ171+AZ173)</f>
        <v>23176277</v>
      </c>
      <c r="BA162" s="27">
        <f t="shared" si="528"/>
        <v>61357753</v>
      </c>
      <c r="BB162" s="27">
        <f t="shared" si="528"/>
        <v>2209354</v>
      </c>
      <c r="BC162" s="27">
        <f t="shared" si="528"/>
        <v>0</v>
      </c>
      <c r="BD162" s="27">
        <f t="shared" si="528"/>
        <v>0</v>
      </c>
      <c r="BE162" s="27">
        <f t="shared" si="528"/>
        <v>0</v>
      </c>
      <c r="BF162" s="27">
        <f t="shared" si="528"/>
        <v>0</v>
      </c>
      <c r="BG162" s="27">
        <f t="shared" si="528"/>
        <v>0</v>
      </c>
      <c r="BH162" s="27">
        <f t="shared" si="528"/>
        <v>0</v>
      </c>
      <c r="BI162" s="27">
        <f t="shared" si="528"/>
        <v>0</v>
      </c>
      <c r="BJ162" s="27">
        <f t="shared" si="528"/>
        <v>0</v>
      </c>
      <c r="BK162" s="27">
        <f t="shared" ref="BK162" si="531">SUM(BK163+BK165+BK168+BK171+BK173)</f>
        <v>0</v>
      </c>
      <c r="BL162" s="27">
        <f t="shared" si="528"/>
        <v>0</v>
      </c>
      <c r="BM162" s="27">
        <f t="shared" si="528"/>
        <v>0</v>
      </c>
      <c r="BN162" s="27">
        <f t="shared" ref="BN162" si="532">SUM(BN163+BN165+BN168+BN171+BN173)</f>
        <v>0</v>
      </c>
      <c r="BO162" s="27">
        <f t="shared" si="528"/>
        <v>2209354</v>
      </c>
      <c r="BP162" s="27">
        <f t="shared" si="528"/>
        <v>0</v>
      </c>
      <c r="BQ162" s="27">
        <f t="shared" si="528"/>
        <v>0</v>
      </c>
      <c r="BR162" s="27">
        <f t="shared" si="528"/>
        <v>0</v>
      </c>
      <c r="BS162" s="27">
        <f t="shared" si="528"/>
        <v>0</v>
      </c>
      <c r="BT162" s="27">
        <f t="shared" si="528"/>
        <v>0</v>
      </c>
      <c r="BU162" s="27">
        <f t="shared" si="528"/>
        <v>0</v>
      </c>
      <c r="BV162" s="27">
        <f t="shared" ref="BV162:DA162" si="533">SUM(BV163+BV165+BV168+BV171+BV173)</f>
        <v>0</v>
      </c>
      <c r="BW162" s="27">
        <f t="shared" si="533"/>
        <v>0</v>
      </c>
      <c r="BX162" s="27">
        <f t="shared" si="533"/>
        <v>0</v>
      </c>
      <c r="BY162" s="27">
        <f t="shared" si="533"/>
        <v>0</v>
      </c>
      <c r="BZ162" s="27">
        <f t="shared" si="533"/>
        <v>2209354</v>
      </c>
      <c r="CA162" s="27">
        <f t="shared" si="533"/>
        <v>3342775</v>
      </c>
      <c r="CB162" s="27">
        <f t="shared" si="533"/>
        <v>3342775</v>
      </c>
      <c r="CC162" s="27">
        <f t="shared" si="533"/>
        <v>2481530</v>
      </c>
      <c r="CD162" s="27">
        <f t="shared" si="533"/>
        <v>0</v>
      </c>
      <c r="CE162" s="27">
        <f t="shared" si="533"/>
        <v>2481530</v>
      </c>
      <c r="CF162" s="27">
        <f t="shared" si="533"/>
        <v>243285</v>
      </c>
      <c r="CG162" s="27">
        <f t="shared" si="533"/>
        <v>0</v>
      </c>
      <c r="CH162" s="27">
        <f t="shared" ref="CH162:CI162" si="534">SUM(CH163+CH165+CH168+CH171+CH173)</f>
        <v>243285</v>
      </c>
      <c r="CI162" s="27">
        <f t="shared" si="534"/>
        <v>0</v>
      </c>
      <c r="CJ162" s="27">
        <f t="shared" si="533"/>
        <v>0</v>
      </c>
      <c r="CK162" s="27">
        <f t="shared" ref="CK162" si="535">SUM(CK163+CK165+CK168+CK171+CK173)</f>
        <v>0</v>
      </c>
      <c r="CL162" s="27">
        <f t="shared" si="533"/>
        <v>617960</v>
      </c>
      <c r="CM162" s="27">
        <f t="shared" si="533"/>
        <v>0</v>
      </c>
      <c r="CN162" s="27">
        <f t="shared" ref="CN162" si="536">SUM(CN163+CN165+CN168+CN171+CN173)</f>
        <v>543326</v>
      </c>
      <c r="CO162" s="27">
        <f t="shared" si="533"/>
        <v>0</v>
      </c>
      <c r="CP162" s="27">
        <f t="shared" ref="CP162" si="537">SUM(CP163+CP165+CP168+CP171+CP173)</f>
        <v>74634</v>
      </c>
      <c r="CQ162" s="27">
        <f t="shared" si="533"/>
        <v>0</v>
      </c>
      <c r="CR162" s="27"/>
      <c r="CS162" s="27"/>
      <c r="CT162" s="27">
        <f t="shared" si="533"/>
        <v>0</v>
      </c>
      <c r="CU162" s="27"/>
      <c r="CV162" s="27"/>
      <c r="CW162" s="27"/>
      <c r="CX162" s="27">
        <f t="shared" si="533"/>
        <v>0</v>
      </c>
      <c r="CY162" s="27">
        <f t="shared" si="533"/>
        <v>0</v>
      </c>
      <c r="CZ162" s="27">
        <f t="shared" si="533"/>
        <v>0</v>
      </c>
      <c r="DA162" s="55">
        <f t="shared" si="533"/>
        <v>0</v>
      </c>
      <c r="DB162" s="85"/>
    </row>
    <row r="163" spans="1:106" s="86" customFormat="1" ht="15.75" x14ac:dyDescent="0.25">
      <c r="A163" s="71" t="s">
        <v>258</v>
      </c>
      <c r="B163" s="16" t="s">
        <v>1</v>
      </c>
      <c r="C163" s="17" t="s">
        <v>259</v>
      </c>
      <c r="D163" s="18">
        <f>SUM(D164)</f>
        <v>723826072</v>
      </c>
      <c r="E163" s="18">
        <f t="shared" ref="E163:BU163" si="538">SUM(E164)</f>
        <v>721171938</v>
      </c>
      <c r="F163" s="18">
        <f t="shared" si="538"/>
        <v>719240701</v>
      </c>
      <c r="G163" s="18">
        <f t="shared" si="538"/>
        <v>410436322</v>
      </c>
      <c r="H163" s="18">
        <f t="shared" si="538"/>
        <v>95628669</v>
      </c>
      <c r="I163" s="18">
        <f t="shared" si="538"/>
        <v>101250192</v>
      </c>
      <c r="J163" s="18">
        <f t="shared" si="538"/>
        <v>72741636</v>
      </c>
      <c r="K163" s="18">
        <f t="shared" si="538"/>
        <v>1046692</v>
      </c>
      <c r="L163" s="18">
        <f t="shared" si="538"/>
        <v>16623858</v>
      </c>
      <c r="M163" s="18">
        <f t="shared" si="538"/>
        <v>4220</v>
      </c>
      <c r="N163" s="18">
        <f t="shared" si="538"/>
        <v>8455136</v>
      </c>
      <c r="O163" s="18">
        <f t="shared" si="538"/>
        <v>2378650</v>
      </c>
      <c r="P163" s="18">
        <f t="shared" si="538"/>
        <v>0</v>
      </c>
      <c r="Q163" s="18">
        <f t="shared" si="538"/>
        <v>0</v>
      </c>
      <c r="R163" s="18">
        <f t="shared" si="538"/>
        <v>0</v>
      </c>
      <c r="S163" s="18">
        <f t="shared" si="538"/>
        <v>33187</v>
      </c>
      <c r="T163" s="18">
        <f t="shared" si="538"/>
        <v>991334</v>
      </c>
      <c r="U163" s="18">
        <f t="shared" si="538"/>
        <v>21452711</v>
      </c>
      <c r="V163" s="18">
        <f t="shared" si="538"/>
        <v>592658</v>
      </c>
      <c r="W163" s="18">
        <f t="shared" si="538"/>
        <v>9667084</v>
      </c>
      <c r="X163" s="18">
        <f t="shared" si="538"/>
        <v>5938709</v>
      </c>
      <c r="Y163" s="18">
        <f t="shared" si="538"/>
        <v>4458757</v>
      </c>
      <c r="Z163" s="18">
        <f t="shared" si="538"/>
        <v>714235</v>
      </c>
      <c r="AA163" s="18">
        <f t="shared" si="538"/>
        <v>0</v>
      </c>
      <c r="AB163" s="18">
        <f t="shared" si="538"/>
        <v>0</v>
      </c>
      <c r="AC163" s="18">
        <f t="shared" si="538"/>
        <v>81268</v>
      </c>
      <c r="AD163" s="18">
        <f t="shared" si="538"/>
        <v>0</v>
      </c>
      <c r="AE163" s="18">
        <f t="shared" si="538"/>
        <v>89448286</v>
      </c>
      <c r="AF163" s="18">
        <f t="shared" si="538"/>
        <v>0</v>
      </c>
      <c r="AG163" s="18">
        <f t="shared" si="538"/>
        <v>0</v>
      </c>
      <c r="AH163" s="18">
        <f t="shared" si="538"/>
        <v>1186843</v>
      </c>
      <c r="AI163" s="18">
        <f t="shared" si="538"/>
        <v>1037820</v>
      </c>
      <c r="AJ163" s="18">
        <f t="shared" si="538"/>
        <v>0</v>
      </c>
      <c r="AK163" s="18">
        <f t="shared" si="538"/>
        <v>6690</v>
      </c>
      <c r="AL163" s="18">
        <f t="shared" si="538"/>
        <v>0</v>
      </c>
      <c r="AM163" s="18">
        <f t="shared" si="538"/>
        <v>451794</v>
      </c>
      <c r="AN163" s="18">
        <f t="shared" si="538"/>
        <v>155395</v>
      </c>
      <c r="AO163" s="18">
        <f t="shared" si="538"/>
        <v>0</v>
      </c>
      <c r="AP163" s="18">
        <f t="shared" si="538"/>
        <v>3795</v>
      </c>
      <c r="AQ163" s="18"/>
      <c r="AR163" s="18">
        <f t="shared" si="538"/>
        <v>0</v>
      </c>
      <c r="AS163" s="18">
        <f t="shared" si="538"/>
        <v>1048513</v>
      </c>
      <c r="AT163" s="18">
        <f t="shared" si="538"/>
        <v>99622</v>
      </c>
      <c r="AU163" s="18">
        <f t="shared" si="538"/>
        <v>0</v>
      </c>
      <c r="AV163" s="18">
        <f t="shared" si="538"/>
        <v>991454</v>
      </c>
      <c r="AW163" s="18">
        <f t="shared" si="538"/>
        <v>7108171</v>
      </c>
      <c r="AX163" s="18">
        <f t="shared" si="538"/>
        <v>0</v>
      </c>
      <c r="AY163" s="18">
        <f t="shared" si="538"/>
        <v>0</v>
      </c>
      <c r="AZ163" s="18">
        <f t="shared" si="538"/>
        <v>23176277</v>
      </c>
      <c r="BA163" s="18">
        <f t="shared" si="538"/>
        <v>54181912</v>
      </c>
      <c r="BB163" s="18">
        <f t="shared" si="538"/>
        <v>1931237</v>
      </c>
      <c r="BC163" s="18">
        <f t="shared" si="538"/>
        <v>0</v>
      </c>
      <c r="BD163" s="18">
        <f t="shared" si="538"/>
        <v>0</v>
      </c>
      <c r="BE163" s="18">
        <f t="shared" si="538"/>
        <v>0</v>
      </c>
      <c r="BF163" s="18">
        <f t="shared" si="538"/>
        <v>0</v>
      </c>
      <c r="BG163" s="18">
        <f t="shared" si="538"/>
        <v>0</v>
      </c>
      <c r="BH163" s="18">
        <f t="shared" si="538"/>
        <v>0</v>
      </c>
      <c r="BI163" s="18">
        <f t="shared" si="538"/>
        <v>0</v>
      </c>
      <c r="BJ163" s="18">
        <f t="shared" si="538"/>
        <v>0</v>
      </c>
      <c r="BK163" s="18">
        <f t="shared" si="538"/>
        <v>0</v>
      </c>
      <c r="BL163" s="18">
        <f t="shared" si="538"/>
        <v>0</v>
      </c>
      <c r="BM163" s="18">
        <f t="shared" si="538"/>
        <v>0</v>
      </c>
      <c r="BN163" s="18">
        <f t="shared" si="538"/>
        <v>0</v>
      </c>
      <c r="BO163" s="18">
        <f t="shared" si="538"/>
        <v>1931237</v>
      </c>
      <c r="BP163" s="18">
        <f t="shared" si="538"/>
        <v>0</v>
      </c>
      <c r="BQ163" s="18">
        <f t="shared" si="538"/>
        <v>0</v>
      </c>
      <c r="BR163" s="18">
        <f t="shared" si="538"/>
        <v>0</v>
      </c>
      <c r="BS163" s="18">
        <f t="shared" si="538"/>
        <v>0</v>
      </c>
      <c r="BT163" s="18">
        <f t="shared" si="538"/>
        <v>0</v>
      </c>
      <c r="BU163" s="18">
        <f t="shared" si="538"/>
        <v>0</v>
      </c>
      <c r="BV163" s="18">
        <f t="shared" ref="BV163:DA163" si="539">SUM(BV164)</f>
        <v>0</v>
      </c>
      <c r="BW163" s="18">
        <f t="shared" si="539"/>
        <v>0</v>
      </c>
      <c r="BX163" s="18">
        <f t="shared" si="539"/>
        <v>0</v>
      </c>
      <c r="BY163" s="18">
        <f t="shared" si="539"/>
        <v>0</v>
      </c>
      <c r="BZ163" s="18">
        <f t="shared" si="539"/>
        <v>1931237</v>
      </c>
      <c r="CA163" s="18">
        <f t="shared" si="539"/>
        <v>2654134</v>
      </c>
      <c r="CB163" s="18">
        <f t="shared" si="539"/>
        <v>2654134</v>
      </c>
      <c r="CC163" s="18">
        <f t="shared" si="539"/>
        <v>1867523</v>
      </c>
      <c r="CD163" s="18">
        <f t="shared" si="539"/>
        <v>0</v>
      </c>
      <c r="CE163" s="18">
        <f t="shared" si="539"/>
        <v>1867523</v>
      </c>
      <c r="CF163" s="18">
        <f t="shared" si="539"/>
        <v>243285</v>
      </c>
      <c r="CG163" s="18">
        <f t="shared" si="539"/>
        <v>0</v>
      </c>
      <c r="CH163" s="18">
        <f t="shared" si="539"/>
        <v>243285</v>
      </c>
      <c r="CI163" s="18">
        <f t="shared" si="539"/>
        <v>0</v>
      </c>
      <c r="CJ163" s="18">
        <f t="shared" si="539"/>
        <v>0</v>
      </c>
      <c r="CK163" s="18">
        <f t="shared" si="539"/>
        <v>0</v>
      </c>
      <c r="CL163" s="18">
        <f t="shared" si="539"/>
        <v>543326</v>
      </c>
      <c r="CM163" s="18">
        <f t="shared" si="539"/>
        <v>0</v>
      </c>
      <c r="CN163" s="18">
        <f t="shared" si="539"/>
        <v>543326</v>
      </c>
      <c r="CO163" s="18">
        <f t="shared" si="539"/>
        <v>0</v>
      </c>
      <c r="CP163" s="18"/>
      <c r="CQ163" s="18"/>
      <c r="CR163" s="18"/>
      <c r="CS163" s="18"/>
      <c r="CT163" s="18">
        <f t="shared" si="539"/>
        <v>0</v>
      </c>
      <c r="CU163" s="18"/>
      <c r="CV163" s="18"/>
      <c r="CW163" s="18"/>
      <c r="CX163" s="18">
        <f t="shared" si="539"/>
        <v>0</v>
      </c>
      <c r="CY163" s="18">
        <f t="shared" si="539"/>
        <v>0</v>
      </c>
      <c r="CZ163" s="18">
        <f t="shared" si="539"/>
        <v>0</v>
      </c>
      <c r="DA163" s="46">
        <f t="shared" si="539"/>
        <v>0</v>
      </c>
      <c r="DB163" s="85"/>
    </row>
    <row r="164" spans="1:106" ht="15.75" x14ac:dyDescent="0.25">
      <c r="A164" s="72" t="s">
        <v>1</v>
      </c>
      <c r="B164" s="21" t="s">
        <v>84</v>
      </c>
      <c r="C164" s="22" t="s">
        <v>259</v>
      </c>
      <c r="D164" s="18">
        <f>SUM(E164+CA164+CX164)</f>
        <v>723826072</v>
      </c>
      <c r="E164" s="19">
        <f>SUM(F164+BB164)</f>
        <v>721171938</v>
      </c>
      <c r="F164" s="19">
        <f>SUM(G164+H164+I164+P164+S164+T164+U164+AE164)</f>
        <v>719240701</v>
      </c>
      <c r="G164" s="23">
        <f>343938378+66497944</f>
        <v>410436322</v>
      </c>
      <c r="H164" s="23">
        <f>78486095+17142574</f>
        <v>95628669</v>
      </c>
      <c r="I164" s="19">
        <f t="shared" si="376"/>
        <v>101250192</v>
      </c>
      <c r="J164" s="23">
        <f>76407960-3666324</f>
        <v>72741636</v>
      </c>
      <c r="K164" s="23">
        <v>1046692</v>
      </c>
      <c r="L164" s="23">
        <v>16623858</v>
      </c>
      <c r="M164" s="23">
        <v>4220</v>
      </c>
      <c r="N164" s="23">
        <v>8455136</v>
      </c>
      <c r="O164" s="23">
        <f>2712655-386240+52235</f>
        <v>2378650</v>
      </c>
      <c r="P164" s="19">
        <f t="shared" si="377"/>
        <v>0</v>
      </c>
      <c r="Q164" s="19">
        <v>0</v>
      </c>
      <c r="R164" s="19"/>
      <c r="S164" s="19">
        <v>33187</v>
      </c>
      <c r="T164" s="23">
        <v>991334</v>
      </c>
      <c r="U164" s="19">
        <f t="shared" ref="U164" si="540">SUM(V164:AC164)</f>
        <v>21452711</v>
      </c>
      <c r="V164" s="23">
        <v>592658</v>
      </c>
      <c r="W164" s="23">
        <f>9518416+71401+77267</f>
        <v>9667084</v>
      </c>
      <c r="X164" s="23">
        <f>6012581-73872</f>
        <v>5938709</v>
      </c>
      <c r="Y164" s="23">
        <f>4422510+36247</f>
        <v>4458757</v>
      </c>
      <c r="Z164" s="23">
        <v>714235</v>
      </c>
      <c r="AA164" s="23">
        <v>0</v>
      </c>
      <c r="AB164" s="23">
        <v>0</v>
      </c>
      <c r="AC164" s="23">
        <f>77298+3970</f>
        <v>81268</v>
      </c>
      <c r="AD164" s="19">
        <v>0</v>
      </c>
      <c r="AE164" s="19">
        <f>SUM(AF164:BA164)</f>
        <v>89448286</v>
      </c>
      <c r="AF164" s="19">
        <v>0</v>
      </c>
      <c r="AG164" s="19">
        <v>0</v>
      </c>
      <c r="AH164" s="23">
        <f>232164-45321+1000000</f>
        <v>1186843</v>
      </c>
      <c r="AI164" s="23">
        <f>992499+45321</f>
        <v>1037820</v>
      </c>
      <c r="AJ164" s="23">
        <v>0</v>
      </c>
      <c r="AK164" s="23">
        <v>6690</v>
      </c>
      <c r="AL164" s="23">
        <v>0</v>
      </c>
      <c r="AM164" s="23">
        <v>451794</v>
      </c>
      <c r="AN164" s="23">
        <v>155395</v>
      </c>
      <c r="AO164" s="23">
        <v>0</v>
      </c>
      <c r="AP164" s="23">
        <v>3795</v>
      </c>
      <c r="AQ164" s="23"/>
      <c r="AR164" s="23">
        <v>0</v>
      </c>
      <c r="AS164" s="23">
        <v>1048513</v>
      </c>
      <c r="AT164" s="23">
        <v>99622</v>
      </c>
      <c r="AU164" s="23">
        <v>0</v>
      </c>
      <c r="AV164" s="23">
        <v>991454</v>
      </c>
      <c r="AW164" s="23">
        <f>6881399+226772</f>
        <v>7108171</v>
      </c>
      <c r="AX164" s="23">
        <v>0</v>
      </c>
      <c r="AY164" s="23">
        <v>0</v>
      </c>
      <c r="AZ164" s="23">
        <v>23176277</v>
      </c>
      <c r="BA164" s="23">
        <f>42766385+6023603+3666324+1725600</f>
        <v>54181912</v>
      </c>
      <c r="BB164" s="19">
        <f>SUM(BC164+BG164+BJ164+BL164+BO164)</f>
        <v>1931237</v>
      </c>
      <c r="BC164" s="19">
        <f>SUM(BD164:BF164)</f>
        <v>0</v>
      </c>
      <c r="BD164" s="19">
        <v>0</v>
      </c>
      <c r="BE164" s="19">
        <v>0</v>
      </c>
      <c r="BF164" s="19">
        <v>0</v>
      </c>
      <c r="BG164" s="19">
        <f>SUM(BI164:BI164)</f>
        <v>0</v>
      </c>
      <c r="BH164" s="19">
        <v>0</v>
      </c>
      <c r="BI164" s="19">
        <v>0</v>
      </c>
      <c r="BJ164" s="19">
        <v>0</v>
      </c>
      <c r="BK164" s="19">
        <v>0</v>
      </c>
      <c r="BL164" s="19">
        <f t="shared" si="379"/>
        <v>0</v>
      </c>
      <c r="BM164" s="19">
        <v>0</v>
      </c>
      <c r="BN164" s="19">
        <v>0</v>
      </c>
      <c r="BO164" s="19">
        <f>SUM(BP164:BZ164)</f>
        <v>1931237</v>
      </c>
      <c r="BP164" s="19">
        <v>0</v>
      </c>
      <c r="BQ164" s="19">
        <v>0</v>
      </c>
      <c r="BR164" s="19">
        <v>0</v>
      </c>
      <c r="BS164" s="19">
        <v>0</v>
      </c>
      <c r="BT164" s="19">
        <v>0</v>
      </c>
      <c r="BU164" s="19">
        <v>0</v>
      </c>
      <c r="BV164" s="19">
        <v>0</v>
      </c>
      <c r="BW164" s="19">
        <v>0</v>
      </c>
      <c r="BX164" s="19">
        <v>0</v>
      </c>
      <c r="BY164" s="19">
        <v>0</v>
      </c>
      <c r="BZ164" s="23">
        <v>1931237</v>
      </c>
      <c r="CA164" s="19">
        <f>SUM(CB164+CT164)</f>
        <v>2654134</v>
      </c>
      <c r="CB164" s="19">
        <f>SUM(CC164+CF164+CL164)</f>
        <v>2654134</v>
      </c>
      <c r="CC164" s="19">
        <f t="shared" si="380"/>
        <v>1867523</v>
      </c>
      <c r="CD164" s="19">
        <v>0</v>
      </c>
      <c r="CE164" s="23">
        <v>1867523</v>
      </c>
      <c r="CF164" s="19">
        <f>SUM(CG164:CK164)</f>
        <v>243285</v>
      </c>
      <c r="CG164" s="19">
        <v>0</v>
      </c>
      <c r="CH164" s="19">
        <v>243285</v>
      </c>
      <c r="CI164" s="19">
        <v>0</v>
      </c>
      <c r="CJ164" s="19">
        <v>0</v>
      </c>
      <c r="CK164" s="19">
        <v>0</v>
      </c>
      <c r="CL164" s="19">
        <f>SUM(CM164:CQ164)</f>
        <v>543326</v>
      </c>
      <c r="CM164" s="23"/>
      <c r="CN164" s="23">
        <f>750616-207290</f>
        <v>543326</v>
      </c>
      <c r="CO164" s="19">
        <v>0</v>
      </c>
      <c r="CP164" s="19"/>
      <c r="CQ164" s="19"/>
      <c r="CR164" s="19"/>
      <c r="CS164" s="19"/>
      <c r="CT164" s="19">
        <v>0</v>
      </c>
      <c r="CU164" s="19"/>
      <c r="CV164" s="19"/>
      <c r="CW164" s="19"/>
      <c r="CX164" s="19">
        <f t="shared" si="382"/>
        <v>0</v>
      </c>
      <c r="CY164" s="19">
        <f t="shared" si="383"/>
        <v>0</v>
      </c>
      <c r="CZ164" s="19">
        <v>0</v>
      </c>
      <c r="DA164" s="20">
        <v>0</v>
      </c>
    </row>
    <row r="165" spans="1:106" s="86" customFormat="1" ht="31.5" x14ac:dyDescent="0.25">
      <c r="A165" s="71" t="s">
        <v>260</v>
      </c>
      <c r="B165" s="16" t="s">
        <v>1</v>
      </c>
      <c r="C165" s="17" t="s">
        <v>261</v>
      </c>
      <c r="D165" s="18">
        <f>SUM(D166:D167)</f>
        <v>162873514</v>
      </c>
      <c r="E165" s="18">
        <f t="shared" ref="E165:BU165" si="541">SUM(E166:E167)</f>
        <v>162505181</v>
      </c>
      <c r="F165" s="18">
        <f t="shared" si="541"/>
        <v>162451134</v>
      </c>
      <c r="G165" s="18">
        <f t="shared" si="541"/>
        <v>108638106</v>
      </c>
      <c r="H165" s="18">
        <f t="shared" si="541"/>
        <v>25755694</v>
      </c>
      <c r="I165" s="18">
        <f t="shared" si="541"/>
        <v>17497339</v>
      </c>
      <c r="J165" s="18">
        <f t="shared" si="541"/>
        <v>9072985</v>
      </c>
      <c r="K165" s="18">
        <f t="shared" si="541"/>
        <v>83340</v>
      </c>
      <c r="L165" s="18">
        <f t="shared" si="541"/>
        <v>0</v>
      </c>
      <c r="M165" s="18">
        <f t="shared" si="541"/>
        <v>0</v>
      </c>
      <c r="N165" s="18">
        <f t="shared" si="541"/>
        <v>8171242</v>
      </c>
      <c r="O165" s="18">
        <f t="shared" si="541"/>
        <v>169772</v>
      </c>
      <c r="P165" s="18">
        <f t="shared" si="541"/>
        <v>0</v>
      </c>
      <c r="Q165" s="18">
        <f t="shared" si="541"/>
        <v>0</v>
      </c>
      <c r="R165" s="18">
        <f t="shared" si="541"/>
        <v>0</v>
      </c>
      <c r="S165" s="18">
        <f t="shared" si="541"/>
        <v>0</v>
      </c>
      <c r="T165" s="18">
        <f t="shared" si="541"/>
        <v>544476</v>
      </c>
      <c r="U165" s="18">
        <f t="shared" si="541"/>
        <v>2517028</v>
      </c>
      <c r="V165" s="18">
        <f t="shared" si="541"/>
        <v>128571</v>
      </c>
      <c r="W165" s="18">
        <f t="shared" si="541"/>
        <v>1222711</v>
      </c>
      <c r="X165" s="18">
        <f t="shared" si="541"/>
        <v>751162</v>
      </c>
      <c r="Y165" s="18">
        <f t="shared" si="541"/>
        <v>312914</v>
      </c>
      <c r="Z165" s="18">
        <f t="shared" si="541"/>
        <v>67389</v>
      </c>
      <c r="AA165" s="18">
        <f t="shared" si="541"/>
        <v>0</v>
      </c>
      <c r="AB165" s="18">
        <f t="shared" si="541"/>
        <v>0</v>
      </c>
      <c r="AC165" s="18">
        <f t="shared" si="541"/>
        <v>34281</v>
      </c>
      <c r="AD165" s="18">
        <f t="shared" ref="AD165" si="542">SUM(AD166:AD167)</f>
        <v>0</v>
      </c>
      <c r="AE165" s="18">
        <f t="shared" si="541"/>
        <v>7498491</v>
      </c>
      <c r="AF165" s="18">
        <f t="shared" si="541"/>
        <v>0</v>
      </c>
      <c r="AG165" s="18">
        <f t="shared" si="541"/>
        <v>0</v>
      </c>
      <c r="AH165" s="18">
        <f t="shared" si="541"/>
        <v>56078</v>
      </c>
      <c r="AI165" s="18">
        <f t="shared" si="541"/>
        <v>109276</v>
      </c>
      <c r="AJ165" s="18">
        <f t="shared" si="541"/>
        <v>0</v>
      </c>
      <c r="AK165" s="18">
        <f t="shared" si="541"/>
        <v>1163</v>
      </c>
      <c r="AL165" s="18">
        <f t="shared" si="541"/>
        <v>0</v>
      </c>
      <c r="AM165" s="18">
        <f t="shared" si="541"/>
        <v>3367</v>
      </c>
      <c r="AN165" s="18">
        <f t="shared" si="541"/>
        <v>40291</v>
      </c>
      <c r="AO165" s="18">
        <f t="shared" si="541"/>
        <v>0</v>
      </c>
      <c r="AP165" s="18">
        <f t="shared" si="541"/>
        <v>360</v>
      </c>
      <c r="AQ165" s="18"/>
      <c r="AR165" s="18">
        <f t="shared" si="541"/>
        <v>0</v>
      </c>
      <c r="AS165" s="18">
        <f t="shared" si="541"/>
        <v>439970</v>
      </c>
      <c r="AT165" s="18">
        <f t="shared" si="541"/>
        <v>27600</v>
      </c>
      <c r="AU165" s="18">
        <f t="shared" si="541"/>
        <v>0</v>
      </c>
      <c r="AV165" s="18">
        <f t="shared" si="541"/>
        <v>801034</v>
      </c>
      <c r="AW165" s="18">
        <f t="shared" si="541"/>
        <v>0</v>
      </c>
      <c r="AX165" s="18">
        <f t="shared" si="541"/>
        <v>0</v>
      </c>
      <c r="AY165" s="18">
        <f t="shared" si="541"/>
        <v>0</v>
      </c>
      <c r="AZ165" s="18"/>
      <c r="BA165" s="18">
        <f t="shared" si="541"/>
        <v>6019352</v>
      </c>
      <c r="BB165" s="18">
        <f t="shared" si="541"/>
        <v>54047</v>
      </c>
      <c r="BC165" s="18">
        <f t="shared" si="541"/>
        <v>0</v>
      </c>
      <c r="BD165" s="18">
        <f t="shared" si="541"/>
        <v>0</v>
      </c>
      <c r="BE165" s="18">
        <f t="shared" si="541"/>
        <v>0</v>
      </c>
      <c r="BF165" s="18">
        <f t="shared" si="541"/>
        <v>0</v>
      </c>
      <c r="BG165" s="18">
        <f t="shared" si="541"/>
        <v>0</v>
      </c>
      <c r="BH165" s="18">
        <f t="shared" si="541"/>
        <v>0</v>
      </c>
      <c r="BI165" s="18">
        <f t="shared" si="541"/>
        <v>0</v>
      </c>
      <c r="BJ165" s="18">
        <f t="shared" si="541"/>
        <v>0</v>
      </c>
      <c r="BK165" s="18">
        <f t="shared" ref="BK165" si="543">SUM(BK166:BK167)</f>
        <v>0</v>
      </c>
      <c r="BL165" s="18">
        <f t="shared" si="541"/>
        <v>0</v>
      </c>
      <c r="BM165" s="18">
        <f t="shared" si="541"/>
        <v>0</v>
      </c>
      <c r="BN165" s="18">
        <f t="shared" ref="BN165" si="544">SUM(BN166:BN167)</f>
        <v>0</v>
      </c>
      <c r="BO165" s="18">
        <f t="shared" si="541"/>
        <v>54047</v>
      </c>
      <c r="BP165" s="18">
        <f t="shared" si="541"/>
        <v>0</v>
      </c>
      <c r="BQ165" s="18">
        <f t="shared" si="541"/>
        <v>0</v>
      </c>
      <c r="BR165" s="18">
        <f t="shared" si="541"/>
        <v>0</v>
      </c>
      <c r="BS165" s="18">
        <f t="shared" si="541"/>
        <v>0</v>
      </c>
      <c r="BT165" s="18">
        <f t="shared" si="541"/>
        <v>0</v>
      </c>
      <c r="BU165" s="18">
        <f t="shared" si="541"/>
        <v>0</v>
      </c>
      <c r="BV165" s="18">
        <f t="shared" ref="BV165:DA165" si="545">SUM(BV166:BV167)</f>
        <v>0</v>
      </c>
      <c r="BW165" s="18">
        <f t="shared" si="545"/>
        <v>0</v>
      </c>
      <c r="BX165" s="18">
        <f t="shared" si="545"/>
        <v>0</v>
      </c>
      <c r="BY165" s="18">
        <f t="shared" si="545"/>
        <v>0</v>
      </c>
      <c r="BZ165" s="18">
        <f t="shared" si="545"/>
        <v>54047</v>
      </c>
      <c r="CA165" s="18">
        <f t="shared" si="545"/>
        <v>368333</v>
      </c>
      <c r="CB165" s="18">
        <f t="shared" si="545"/>
        <v>368333</v>
      </c>
      <c r="CC165" s="18">
        <f t="shared" si="545"/>
        <v>293699</v>
      </c>
      <c r="CD165" s="18">
        <f t="shared" si="545"/>
        <v>0</v>
      </c>
      <c r="CE165" s="18">
        <f t="shared" si="545"/>
        <v>293699</v>
      </c>
      <c r="CF165" s="18">
        <f t="shared" si="545"/>
        <v>0</v>
      </c>
      <c r="CG165" s="18">
        <f t="shared" si="545"/>
        <v>0</v>
      </c>
      <c r="CH165" s="18">
        <f t="shared" ref="CH165:CI165" si="546">SUM(CH166:CH167)</f>
        <v>0</v>
      </c>
      <c r="CI165" s="18">
        <f t="shared" si="546"/>
        <v>0</v>
      </c>
      <c r="CJ165" s="18">
        <f t="shared" si="545"/>
        <v>0</v>
      </c>
      <c r="CK165" s="18">
        <f t="shared" ref="CK165" si="547">SUM(CK166:CK167)</f>
        <v>0</v>
      </c>
      <c r="CL165" s="18">
        <f t="shared" si="545"/>
        <v>74634</v>
      </c>
      <c r="CM165" s="18">
        <f t="shared" si="545"/>
        <v>0</v>
      </c>
      <c r="CN165" s="18">
        <f t="shared" ref="CN165" si="548">SUM(CN166:CN167)</f>
        <v>0</v>
      </c>
      <c r="CO165" s="18">
        <f t="shared" si="545"/>
        <v>0</v>
      </c>
      <c r="CP165" s="18">
        <f t="shared" ref="CP165" si="549">SUM(CP166:CP167)</f>
        <v>74634</v>
      </c>
      <c r="CQ165" s="18">
        <f t="shared" si="545"/>
        <v>0</v>
      </c>
      <c r="CR165" s="18"/>
      <c r="CS165" s="18"/>
      <c r="CT165" s="18">
        <f t="shared" si="545"/>
        <v>0</v>
      </c>
      <c r="CU165" s="18"/>
      <c r="CV165" s="18"/>
      <c r="CW165" s="18"/>
      <c r="CX165" s="18">
        <f t="shared" si="545"/>
        <v>0</v>
      </c>
      <c r="CY165" s="18">
        <f t="shared" si="545"/>
        <v>0</v>
      </c>
      <c r="CZ165" s="18">
        <f t="shared" si="545"/>
        <v>0</v>
      </c>
      <c r="DA165" s="46">
        <f t="shared" si="545"/>
        <v>0</v>
      </c>
      <c r="DB165" s="85"/>
    </row>
    <row r="166" spans="1:106" ht="15.75" x14ac:dyDescent="0.25">
      <c r="A166" s="72" t="s">
        <v>1</v>
      </c>
      <c r="B166" s="21" t="s">
        <v>84</v>
      </c>
      <c r="C166" s="22" t="s">
        <v>262</v>
      </c>
      <c r="D166" s="18">
        <f>SUM(E166+CA166+CX166)</f>
        <v>114061287</v>
      </c>
      <c r="E166" s="19">
        <f>SUM(F166+BB166)</f>
        <v>113844832</v>
      </c>
      <c r="F166" s="19">
        <f t="shared" ref="F166:F167" si="550">SUM(G166+H166+I166+P166+S166+T166+U166+AE166)</f>
        <v>113844832</v>
      </c>
      <c r="G166" s="23">
        <f>61324586+15544471</f>
        <v>76869057</v>
      </c>
      <c r="H166" s="23">
        <f>14230539+3950507</f>
        <v>18181046</v>
      </c>
      <c r="I166" s="19">
        <f t="shared" si="376"/>
        <v>8766433</v>
      </c>
      <c r="J166" s="23">
        <f>10051995-1928825</f>
        <v>8123170</v>
      </c>
      <c r="K166" s="23">
        <v>0</v>
      </c>
      <c r="L166" s="23">
        <v>0</v>
      </c>
      <c r="M166" s="23">
        <v>0</v>
      </c>
      <c r="N166" s="23">
        <v>516962</v>
      </c>
      <c r="O166" s="23">
        <v>126301</v>
      </c>
      <c r="P166" s="19">
        <f t="shared" si="377"/>
        <v>0</v>
      </c>
      <c r="Q166" s="19">
        <v>0</v>
      </c>
      <c r="R166" s="19"/>
      <c r="S166" s="19"/>
      <c r="T166" s="23">
        <v>456138</v>
      </c>
      <c r="U166" s="19">
        <f t="shared" ref="U166:U167" si="551">SUM(V166:AC166)</f>
        <v>2258679</v>
      </c>
      <c r="V166" s="23">
        <v>124761</v>
      </c>
      <c r="W166" s="23">
        <f>1089126+14859+168</f>
        <v>1104153</v>
      </c>
      <c r="X166" s="23">
        <f>601804+56919</f>
        <v>658723</v>
      </c>
      <c r="Y166" s="23">
        <f>247076+26247</f>
        <v>273323</v>
      </c>
      <c r="Z166" s="23">
        <v>63438</v>
      </c>
      <c r="AA166" s="23">
        <v>0</v>
      </c>
      <c r="AB166" s="23">
        <v>0</v>
      </c>
      <c r="AC166" s="23">
        <f>38978-4697</f>
        <v>34281</v>
      </c>
      <c r="AD166" s="19">
        <v>0</v>
      </c>
      <c r="AE166" s="19">
        <f>SUM(AF166:BA166)</f>
        <v>7313479</v>
      </c>
      <c r="AF166" s="19">
        <v>0</v>
      </c>
      <c r="AG166" s="19">
        <v>0</v>
      </c>
      <c r="AH166" s="23">
        <v>55366</v>
      </c>
      <c r="AI166" s="23">
        <v>109276</v>
      </c>
      <c r="AJ166" s="23">
        <v>0</v>
      </c>
      <c r="AK166" s="23">
        <v>642</v>
      </c>
      <c r="AL166" s="23">
        <v>0</v>
      </c>
      <c r="AM166" s="23">
        <v>3156</v>
      </c>
      <c r="AN166" s="23">
        <v>0</v>
      </c>
      <c r="AO166" s="23">
        <v>0</v>
      </c>
      <c r="AP166" s="23">
        <v>0</v>
      </c>
      <c r="AQ166" s="23"/>
      <c r="AR166" s="23">
        <v>0</v>
      </c>
      <c r="AS166" s="23">
        <v>392155</v>
      </c>
      <c r="AT166" s="23">
        <v>0</v>
      </c>
      <c r="AU166" s="23">
        <v>0</v>
      </c>
      <c r="AV166" s="23">
        <v>801034</v>
      </c>
      <c r="AW166" s="23">
        <v>0</v>
      </c>
      <c r="AX166" s="23">
        <v>0</v>
      </c>
      <c r="AY166" s="23">
        <v>0</v>
      </c>
      <c r="AZ166" s="23">
        <v>0</v>
      </c>
      <c r="BA166" s="23">
        <v>5951850</v>
      </c>
      <c r="BB166" s="19">
        <f>SUM(BC166+BG166+BJ166+BL166+BO166)</f>
        <v>0</v>
      </c>
      <c r="BC166" s="19">
        <f>SUM(BD166:BF166)</f>
        <v>0</v>
      </c>
      <c r="BD166" s="19">
        <v>0</v>
      </c>
      <c r="BE166" s="19">
        <v>0</v>
      </c>
      <c r="BF166" s="19">
        <v>0</v>
      </c>
      <c r="BG166" s="19">
        <f>SUM(BI166:BI166)</f>
        <v>0</v>
      </c>
      <c r="BH166" s="19">
        <v>0</v>
      </c>
      <c r="BI166" s="19">
        <v>0</v>
      </c>
      <c r="BJ166" s="19">
        <v>0</v>
      </c>
      <c r="BK166" s="19">
        <v>0</v>
      </c>
      <c r="BL166" s="19">
        <f t="shared" si="379"/>
        <v>0</v>
      </c>
      <c r="BM166" s="19">
        <v>0</v>
      </c>
      <c r="BN166" s="19">
        <v>0</v>
      </c>
      <c r="BO166" s="19">
        <f>SUM(BP166:BZ166)</f>
        <v>0</v>
      </c>
      <c r="BP166" s="19">
        <v>0</v>
      </c>
      <c r="BQ166" s="19">
        <v>0</v>
      </c>
      <c r="BR166" s="19">
        <v>0</v>
      </c>
      <c r="BS166" s="19">
        <v>0</v>
      </c>
      <c r="BT166" s="19">
        <v>0</v>
      </c>
      <c r="BU166" s="19">
        <v>0</v>
      </c>
      <c r="BV166" s="19">
        <v>0</v>
      </c>
      <c r="BW166" s="19">
        <v>0</v>
      </c>
      <c r="BX166" s="19">
        <v>0</v>
      </c>
      <c r="BY166" s="19">
        <v>0</v>
      </c>
      <c r="BZ166" s="23">
        <v>0</v>
      </c>
      <c r="CA166" s="19">
        <f>SUM(CB166+CT166)</f>
        <v>216455</v>
      </c>
      <c r="CB166" s="19">
        <f>SUM(CC166+CF166+CL166)</f>
        <v>216455</v>
      </c>
      <c r="CC166" s="19">
        <f t="shared" si="380"/>
        <v>216455</v>
      </c>
      <c r="CD166" s="19">
        <v>0</v>
      </c>
      <c r="CE166" s="23">
        <v>216455</v>
      </c>
      <c r="CF166" s="19">
        <f>SUM(CG166:CK166)</f>
        <v>0</v>
      </c>
      <c r="CG166" s="19">
        <v>0</v>
      </c>
      <c r="CH166" s="19">
        <v>0</v>
      </c>
      <c r="CI166" s="19">
        <v>0</v>
      </c>
      <c r="CJ166" s="19">
        <v>0</v>
      </c>
      <c r="CK166" s="19">
        <v>0</v>
      </c>
      <c r="CL166" s="19">
        <f>SUM(CM166:CQ166)</f>
        <v>0</v>
      </c>
      <c r="CM166" s="23"/>
      <c r="CN166" s="23"/>
      <c r="CO166" s="23">
        <v>0</v>
      </c>
      <c r="CP166" s="23">
        <v>0</v>
      </c>
      <c r="CQ166" s="23">
        <v>0</v>
      </c>
      <c r="CR166" s="23"/>
      <c r="CS166" s="23"/>
      <c r="CT166" s="19">
        <v>0</v>
      </c>
      <c r="CU166" s="19"/>
      <c r="CV166" s="19"/>
      <c r="CW166" s="19"/>
      <c r="CX166" s="19">
        <f t="shared" si="382"/>
        <v>0</v>
      </c>
      <c r="CY166" s="19">
        <f t="shared" si="383"/>
        <v>0</v>
      </c>
      <c r="CZ166" s="19">
        <v>0</v>
      </c>
      <c r="DA166" s="20">
        <v>0</v>
      </c>
    </row>
    <row r="167" spans="1:106" ht="15.75" x14ac:dyDescent="0.25">
      <c r="A167" s="72" t="s">
        <v>1</v>
      </c>
      <c r="B167" s="21" t="s">
        <v>84</v>
      </c>
      <c r="C167" s="22" t="s">
        <v>263</v>
      </c>
      <c r="D167" s="18">
        <f>SUM(E167+CA167+CX167)</f>
        <v>48812227</v>
      </c>
      <c r="E167" s="19">
        <f>SUM(F167+BB167)</f>
        <v>48660349</v>
      </c>
      <c r="F167" s="19">
        <f t="shared" si="550"/>
        <v>48606302</v>
      </c>
      <c r="G167" s="23">
        <f>21859856+9909193</f>
        <v>31769049</v>
      </c>
      <c r="H167" s="23">
        <f>5072633+2502015</f>
        <v>7574648</v>
      </c>
      <c r="I167" s="19">
        <f t="shared" si="376"/>
        <v>8730906</v>
      </c>
      <c r="J167" s="23">
        <v>949815</v>
      </c>
      <c r="K167" s="23">
        <v>83340</v>
      </c>
      <c r="L167" s="23">
        <v>0</v>
      </c>
      <c r="M167" s="23">
        <v>0</v>
      </c>
      <c r="N167" s="23">
        <v>7654280</v>
      </c>
      <c r="O167" s="23">
        <v>43471</v>
      </c>
      <c r="P167" s="19">
        <f t="shared" si="377"/>
        <v>0</v>
      </c>
      <c r="Q167" s="19">
        <v>0</v>
      </c>
      <c r="R167" s="23"/>
      <c r="S167" s="19"/>
      <c r="T167" s="23">
        <v>88338</v>
      </c>
      <c r="U167" s="19">
        <f t="shared" si="551"/>
        <v>258349</v>
      </c>
      <c r="V167" s="23">
        <v>3810</v>
      </c>
      <c r="W167" s="23">
        <f>119351+900-1693</f>
        <v>118558</v>
      </c>
      <c r="X167" s="23">
        <f>93809-1370</f>
        <v>92439</v>
      </c>
      <c r="Y167" s="23">
        <f>32787+6804</f>
        <v>39591</v>
      </c>
      <c r="Z167" s="23">
        <v>3951</v>
      </c>
      <c r="AA167" s="23">
        <v>0</v>
      </c>
      <c r="AB167" s="23">
        <v>0</v>
      </c>
      <c r="AC167" s="23">
        <v>0</v>
      </c>
      <c r="AD167" s="19">
        <v>0</v>
      </c>
      <c r="AE167" s="19">
        <f>SUM(AF167:BA167)</f>
        <v>185012</v>
      </c>
      <c r="AF167" s="19">
        <v>0</v>
      </c>
      <c r="AG167" s="19">
        <v>0</v>
      </c>
      <c r="AH167" s="23">
        <v>712</v>
      </c>
      <c r="AI167" s="23">
        <v>0</v>
      </c>
      <c r="AJ167" s="23">
        <v>0</v>
      </c>
      <c r="AK167" s="23">
        <v>521</v>
      </c>
      <c r="AL167" s="23">
        <v>0</v>
      </c>
      <c r="AM167" s="23">
        <v>211</v>
      </c>
      <c r="AN167" s="23">
        <v>40291</v>
      </c>
      <c r="AO167" s="23">
        <v>0</v>
      </c>
      <c r="AP167" s="23">
        <v>360</v>
      </c>
      <c r="AQ167" s="23"/>
      <c r="AR167" s="23">
        <v>0</v>
      </c>
      <c r="AS167" s="23">
        <v>47815</v>
      </c>
      <c r="AT167" s="23">
        <v>27600</v>
      </c>
      <c r="AU167" s="23">
        <v>0</v>
      </c>
      <c r="AV167" s="23">
        <v>0</v>
      </c>
      <c r="AW167" s="23">
        <v>0</v>
      </c>
      <c r="AX167" s="23">
        <v>0</v>
      </c>
      <c r="AY167" s="23">
        <v>0</v>
      </c>
      <c r="AZ167" s="23">
        <v>0</v>
      </c>
      <c r="BA167" s="23">
        <v>67502</v>
      </c>
      <c r="BB167" s="19">
        <f>SUM(BC167+BG167+BJ167+BL167+BO167)</f>
        <v>54047</v>
      </c>
      <c r="BC167" s="19">
        <f>SUM(BD167:BF167)</f>
        <v>0</v>
      </c>
      <c r="BD167" s="19">
        <v>0</v>
      </c>
      <c r="BE167" s="19">
        <v>0</v>
      </c>
      <c r="BF167" s="19">
        <v>0</v>
      </c>
      <c r="BG167" s="19">
        <f>SUM(BI167:BI167)</f>
        <v>0</v>
      </c>
      <c r="BH167" s="19">
        <v>0</v>
      </c>
      <c r="BI167" s="19">
        <v>0</v>
      </c>
      <c r="BJ167" s="19">
        <v>0</v>
      </c>
      <c r="BK167" s="19">
        <v>0</v>
      </c>
      <c r="BL167" s="19">
        <f t="shared" si="379"/>
        <v>0</v>
      </c>
      <c r="BM167" s="19">
        <v>0</v>
      </c>
      <c r="BN167" s="19">
        <v>0</v>
      </c>
      <c r="BO167" s="19">
        <f>SUM(BP167:BZ167)</f>
        <v>54047</v>
      </c>
      <c r="BP167" s="19">
        <v>0</v>
      </c>
      <c r="BQ167" s="19">
        <v>0</v>
      </c>
      <c r="BR167" s="19">
        <v>0</v>
      </c>
      <c r="BS167" s="19">
        <v>0</v>
      </c>
      <c r="BT167" s="19">
        <v>0</v>
      </c>
      <c r="BU167" s="19">
        <v>0</v>
      </c>
      <c r="BV167" s="19">
        <v>0</v>
      </c>
      <c r="BW167" s="19">
        <v>0</v>
      </c>
      <c r="BX167" s="19">
        <v>0</v>
      </c>
      <c r="BY167" s="19">
        <v>0</v>
      </c>
      <c r="BZ167" s="23">
        <v>54047</v>
      </c>
      <c r="CA167" s="19">
        <f>SUM(CB167+CT167)</f>
        <v>151878</v>
      </c>
      <c r="CB167" s="19">
        <f>SUM(CC167+CF167+CL167)</f>
        <v>151878</v>
      </c>
      <c r="CC167" s="19">
        <f t="shared" si="380"/>
        <v>77244</v>
      </c>
      <c r="CD167" s="19">
        <v>0</v>
      </c>
      <c r="CE167" s="23">
        <v>77244</v>
      </c>
      <c r="CF167" s="19">
        <f>SUM(CG167:CK167)</f>
        <v>0</v>
      </c>
      <c r="CG167" s="19">
        <v>0</v>
      </c>
      <c r="CH167" s="19">
        <v>0</v>
      </c>
      <c r="CI167" s="19">
        <v>0</v>
      </c>
      <c r="CJ167" s="19">
        <v>0</v>
      </c>
      <c r="CK167" s="19">
        <v>0</v>
      </c>
      <c r="CL167" s="19">
        <f>SUM(CM167:CQ167)</f>
        <v>74634</v>
      </c>
      <c r="CM167" s="23"/>
      <c r="CN167" s="23"/>
      <c r="CO167" s="23">
        <v>0</v>
      </c>
      <c r="CP167" s="23">
        <v>74634</v>
      </c>
      <c r="CQ167" s="23"/>
      <c r="CR167" s="23"/>
      <c r="CS167" s="23"/>
      <c r="CT167" s="19">
        <v>0</v>
      </c>
      <c r="CU167" s="19"/>
      <c r="CV167" s="19"/>
      <c r="CW167" s="19"/>
      <c r="CX167" s="19">
        <f t="shared" si="382"/>
        <v>0</v>
      </c>
      <c r="CY167" s="19">
        <f t="shared" si="383"/>
        <v>0</v>
      </c>
      <c r="CZ167" s="19">
        <v>0</v>
      </c>
      <c r="DA167" s="20">
        <v>0</v>
      </c>
    </row>
    <row r="168" spans="1:106" s="86" customFormat="1" ht="31.5" x14ac:dyDescent="0.25">
      <c r="A168" s="71" t="s">
        <v>264</v>
      </c>
      <c r="B168" s="16" t="s">
        <v>1</v>
      </c>
      <c r="C168" s="17" t="s">
        <v>265</v>
      </c>
      <c r="D168" s="18">
        <f t="shared" ref="D168:BR168" si="552">SUM(D169:D170)</f>
        <v>28645712</v>
      </c>
      <c r="E168" s="18">
        <f t="shared" si="552"/>
        <v>28376242</v>
      </c>
      <c r="F168" s="18">
        <f t="shared" si="552"/>
        <v>28152172</v>
      </c>
      <c r="G168" s="18">
        <f t="shared" si="552"/>
        <v>19292941</v>
      </c>
      <c r="H168" s="18">
        <f t="shared" si="552"/>
        <v>4882594</v>
      </c>
      <c r="I168" s="18">
        <f t="shared" si="552"/>
        <v>2833895</v>
      </c>
      <c r="J168" s="18">
        <f t="shared" si="552"/>
        <v>1268063</v>
      </c>
      <c r="K168" s="18">
        <f t="shared" si="552"/>
        <v>126268</v>
      </c>
      <c r="L168" s="18">
        <f t="shared" si="552"/>
        <v>930021</v>
      </c>
      <c r="M168" s="18">
        <f t="shared" si="552"/>
        <v>0</v>
      </c>
      <c r="N168" s="18">
        <f t="shared" si="552"/>
        <v>449868</v>
      </c>
      <c r="O168" s="18">
        <f t="shared" si="552"/>
        <v>59675</v>
      </c>
      <c r="P168" s="18">
        <f t="shared" si="552"/>
        <v>2329</v>
      </c>
      <c r="Q168" s="18">
        <f t="shared" si="552"/>
        <v>1310</v>
      </c>
      <c r="R168" s="18">
        <f t="shared" si="552"/>
        <v>1019</v>
      </c>
      <c r="S168" s="18">
        <f t="shared" si="552"/>
        <v>0</v>
      </c>
      <c r="T168" s="18">
        <f t="shared" si="552"/>
        <v>167829</v>
      </c>
      <c r="U168" s="18">
        <f t="shared" si="552"/>
        <v>850621</v>
      </c>
      <c r="V168" s="18">
        <f t="shared" si="552"/>
        <v>15850</v>
      </c>
      <c r="W168" s="18">
        <f t="shared" si="552"/>
        <v>437005</v>
      </c>
      <c r="X168" s="18">
        <f t="shared" si="552"/>
        <v>275569</v>
      </c>
      <c r="Y168" s="18">
        <f t="shared" si="552"/>
        <v>76590</v>
      </c>
      <c r="Z168" s="18">
        <f t="shared" si="552"/>
        <v>6200</v>
      </c>
      <c r="AA168" s="18">
        <f t="shared" si="552"/>
        <v>0</v>
      </c>
      <c r="AB168" s="18">
        <f t="shared" si="552"/>
        <v>0</v>
      </c>
      <c r="AC168" s="18">
        <f t="shared" si="552"/>
        <v>39407</v>
      </c>
      <c r="AD168" s="18">
        <f t="shared" ref="AD168" si="553">SUM(AD169:AD170)</f>
        <v>0</v>
      </c>
      <c r="AE168" s="18">
        <f t="shared" si="552"/>
        <v>121963</v>
      </c>
      <c r="AF168" s="18">
        <f t="shared" si="552"/>
        <v>0</v>
      </c>
      <c r="AG168" s="18">
        <f t="shared" si="552"/>
        <v>0</v>
      </c>
      <c r="AH168" s="18">
        <f t="shared" si="552"/>
        <v>0</v>
      </c>
      <c r="AI168" s="18">
        <f t="shared" si="552"/>
        <v>0</v>
      </c>
      <c r="AJ168" s="18">
        <f t="shared" si="552"/>
        <v>0</v>
      </c>
      <c r="AK168" s="18">
        <f t="shared" si="552"/>
        <v>0</v>
      </c>
      <c r="AL168" s="18">
        <f t="shared" si="552"/>
        <v>0</v>
      </c>
      <c r="AM168" s="18">
        <f t="shared" si="552"/>
        <v>1200</v>
      </c>
      <c r="AN168" s="18">
        <f t="shared" si="552"/>
        <v>0</v>
      </c>
      <c r="AO168" s="18">
        <f t="shared" si="552"/>
        <v>0</v>
      </c>
      <c r="AP168" s="18">
        <f t="shared" si="552"/>
        <v>0</v>
      </c>
      <c r="AQ168" s="18"/>
      <c r="AR168" s="18">
        <f t="shared" si="552"/>
        <v>0</v>
      </c>
      <c r="AS168" s="18">
        <f t="shared" si="552"/>
        <v>44716</v>
      </c>
      <c r="AT168" s="18">
        <f t="shared" si="552"/>
        <v>0</v>
      </c>
      <c r="AU168" s="18">
        <f t="shared" si="552"/>
        <v>0</v>
      </c>
      <c r="AV168" s="18">
        <f t="shared" si="552"/>
        <v>40503</v>
      </c>
      <c r="AW168" s="18">
        <f t="shared" si="552"/>
        <v>0</v>
      </c>
      <c r="AX168" s="18">
        <f t="shared" si="552"/>
        <v>0</v>
      </c>
      <c r="AY168" s="18">
        <f t="shared" si="552"/>
        <v>0</v>
      </c>
      <c r="AZ168" s="18"/>
      <c r="BA168" s="18">
        <f t="shared" si="552"/>
        <v>35544</v>
      </c>
      <c r="BB168" s="18">
        <f t="shared" si="552"/>
        <v>224070</v>
      </c>
      <c r="BC168" s="18">
        <f t="shared" si="552"/>
        <v>0</v>
      </c>
      <c r="BD168" s="18">
        <f t="shared" si="552"/>
        <v>0</v>
      </c>
      <c r="BE168" s="18">
        <f t="shared" si="552"/>
        <v>0</v>
      </c>
      <c r="BF168" s="18">
        <f t="shared" si="552"/>
        <v>0</v>
      </c>
      <c r="BG168" s="18">
        <f t="shared" si="552"/>
        <v>0</v>
      </c>
      <c r="BH168" s="18">
        <f t="shared" si="552"/>
        <v>0</v>
      </c>
      <c r="BI168" s="18">
        <f t="shared" si="552"/>
        <v>0</v>
      </c>
      <c r="BJ168" s="18">
        <f t="shared" si="552"/>
        <v>0</v>
      </c>
      <c r="BK168" s="18">
        <f t="shared" ref="BK168" si="554">SUM(BK169:BK170)</f>
        <v>0</v>
      </c>
      <c r="BL168" s="18">
        <f t="shared" si="552"/>
        <v>0</v>
      </c>
      <c r="BM168" s="18">
        <f t="shared" si="552"/>
        <v>0</v>
      </c>
      <c r="BN168" s="18">
        <f t="shared" ref="BN168" si="555">SUM(BN169:BN170)</f>
        <v>0</v>
      </c>
      <c r="BO168" s="18">
        <f t="shared" si="552"/>
        <v>224070</v>
      </c>
      <c r="BP168" s="18">
        <f t="shared" si="552"/>
        <v>0</v>
      </c>
      <c r="BQ168" s="18">
        <f t="shared" si="552"/>
        <v>0</v>
      </c>
      <c r="BR168" s="18">
        <f t="shared" si="552"/>
        <v>0</v>
      </c>
      <c r="BS168" s="18">
        <f t="shared" ref="BS168:DA168" si="556">SUM(BS169:BS170)</f>
        <v>0</v>
      </c>
      <c r="BT168" s="18">
        <f t="shared" si="556"/>
        <v>0</v>
      </c>
      <c r="BU168" s="18">
        <f t="shared" si="556"/>
        <v>0</v>
      </c>
      <c r="BV168" s="18">
        <f t="shared" si="556"/>
        <v>0</v>
      </c>
      <c r="BW168" s="18">
        <f t="shared" si="556"/>
        <v>0</v>
      </c>
      <c r="BX168" s="18">
        <f t="shared" si="556"/>
        <v>0</v>
      </c>
      <c r="BY168" s="18">
        <f t="shared" si="556"/>
        <v>0</v>
      </c>
      <c r="BZ168" s="18">
        <f t="shared" si="556"/>
        <v>224070</v>
      </c>
      <c r="CA168" s="18">
        <f t="shared" si="556"/>
        <v>269470</v>
      </c>
      <c r="CB168" s="18">
        <f t="shared" si="556"/>
        <v>269470</v>
      </c>
      <c r="CC168" s="18">
        <f t="shared" si="556"/>
        <v>269470</v>
      </c>
      <c r="CD168" s="18">
        <f t="shared" si="556"/>
        <v>0</v>
      </c>
      <c r="CE168" s="18">
        <f t="shared" si="556"/>
        <v>269470</v>
      </c>
      <c r="CF168" s="18">
        <f t="shared" si="556"/>
        <v>0</v>
      </c>
      <c r="CG168" s="18">
        <f t="shared" si="556"/>
        <v>0</v>
      </c>
      <c r="CH168" s="18">
        <f t="shared" ref="CH168:CI168" si="557">SUM(CH169:CH170)</f>
        <v>0</v>
      </c>
      <c r="CI168" s="18">
        <f t="shared" si="557"/>
        <v>0</v>
      </c>
      <c r="CJ168" s="18">
        <f t="shared" si="556"/>
        <v>0</v>
      </c>
      <c r="CK168" s="18">
        <f t="shared" ref="CK168" si="558">SUM(CK169:CK170)</f>
        <v>0</v>
      </c>
      <c r="CL168" s="18">
        <f t="shared" si="556"/>
        <v>0</v>
      </c>
      <c r="CM168" s="18">
        <f t="shared" si="556"/>
        <v>0</v>
      </c>
      <c r="CN168" s="18">
        <f t="shared" ref="CN168" si="559">SUM(CN169:CN170)</f>
        <v>0</v>
      </c>
      <c r="CO168" s="18">
        <f t="shared" si="556"/>
        <v>0</v>
      </c>
      <c r="CP168" s="18"/>
      <c r="CQ168" s="18"/>
      <c r="CR168" s="18"/>
      <c r="CS168" s="18"/>
      <c r="CT168" s="18">
        <f t="shared" si="556"/>
        <v>0</v>
      </c>
      <c r="CU168" s="18"/>
      <c r="CV168" s="18"/>
      <c r="CW168" s="18"/>
      <c r="CX168" s="18">
        <f t="shared" si="556"/>
        <v>0</v>
      </c>
      <c r="CY168" s="18">
        <f t="shared" si="556"/>
        <v>0</v>
      </c>
      <c r="CZ168" s="18">
        <f t="shared" si="556"/>
        <v>0</v>
      </c>
      <c r="DA168" s="46">
        <f t="shared" si="556"/>
        <v>0</v>
      </c>
      <c r="DB168" s="85"/>
    </row>
    <row r="169" spans="1:106" ht="15.75" x14ac:dyDescent="0.25">
      <c r="A169" s="72" t="s">
        <v>1</v>
      </c>
      <c r="B169" s="21" t="s">
        <v>82</v>
      </c>
      <c r="C169" s="22" t="s">
        <v>266</v>
      </c>
      <c r="D169" s="18">
        <f>SUM(E169+CA169+CX169)</f>
        <v>8147210</v>
      </c>
      <c r="E169" s="19">
        <f>SUM(F169+BB169)</f>
        <v>8089841</v>
      </c>
      <c r="F169" s="19">
        <f t="shared" ref="F169:F170" si="560">SUM(G169+H169+I169+P169+S169+T169+U169+AE169)</f>
        <v>7865771</v>
      </c>
      <c r="G169" s="23">
        <f>4143378+852081</f>
        <v>4995459</v>
      </c>
      <c r="H169" s="23">
        <f>969254+198946</f>
        <v>1168200</v>
      </c>
      <c r="I169" s="19">
        <f t="shared" si="376"/>
        <v>1396985</v>
      </c>
      <c r="J169" s="23">
        <v>180613</v>
      </c>
      <c r="K169" s="23">
        <v>126268</v>
      </c>
      <c r="L169" s="23">
        <v>930021</v>
      </c>
      <c r="M169" s="23">
        <v>0</v>
      </c>
      <c r="N169" s="23">
        <v>133153</v>
      </c>
      <c r="O169" s="23">
        <v>26930</v>
      </c>
      <c r="P169" s="19">
        <f t="shared" si="377"/>
        <v>2329</v>
      </c>
      <c r="Q169" s="19">
        <v>1310</v>
      </c>
      <c r="R169" s="23">
        <v>1019</v>
      </c>
      <c r="S169" s="23">
        <v>0</v>
      </c>
      <c r="T169" s="23">
        <v>3604</v>
      </c>
      <c r="U169" s="19">
        <f t="shared" ref="U169:U170" si="561">SUM(V169:AC169)</f>
        <v>183531</v>
      </c>
      <c r="V169" s="23">
        <v>15850</v>
      </c>
      <c r="W169" s="23">
        <v>0</v>
      </c>
      <c r="X169" s="23">
        <f>83785-4881</f>
        <v>78904</v>
      </c>
      <c r="Y169" s="23">
        <f>59036-10929</f>
        <v>48107</v>
      </c>
      <c r="Z169" s="23">
        <v>6200</v>
      </c>
      <c r="AA169" s="23">
        <v>0</v>
      </c>
      <c r="AB169" s="23">
        <v>0</v>
      </c>
      <c r="AC169" s="23">
        <v>34470</v>
      </c>
      <c r="AD169" s="19">
        <v>0</v>
      </c>
      <c r="AE169" s="19">
        <f>SUM(AF169:BA169)</f>
        <v>115663</v>
      </c>
      <c r="AF169" s="19">
        <v>0</v>
      </c>
      <c r="AG169" s="19">
        <v>0</v>
      </c>
      <c r="AH169" s="23">
        <v>0</v>
      </c>
      <c r="AI169" s="23">
        <v>0</v>
      </c>
      <c r="AJ169" s="23">
        <v>0</v>
      </c>
      <c r="AK169" s="23">
        <v>0</v>
      </c>
      <c r="AL169" s="23">
        <v>0</v>
      </c>
      <c r="AM169" s="23">
        <v>1200</v>
      </c>
      <c r="AN169" s="23">
        <v>0</v>
      </c>
      <c r="AO169" s="23">
        <v>0</v>
      </c>
      <c r="AP169" s="23">
        <v>0</v>
      </c>
      <c r="AQ169" s="23"/>
      <c r="AR169" s="23">
        <v>0</v>
      </c>
      <c r="AS169" s="23">
        <v>44716</v>
      </c>
      <c r="AT169" s="23">
        <v>0</v>
      </c>
      <c r="AU169" s="23">
        <v>0</v>
      </c>
      <c r="AV169" s="23">
        <v>40503</v>
      </c>
      <c r="AW169" s="23">
        <v>0</v>
      </c>
      <c r="AX169" s="23">
        <v>0</v>
      </c>
      <c r="AY169" s="23">
        <v>0</v>
      </c>
      <c r="AZ169" s="23">
        <v>0</v>
      </c>
      <c r="BA169" s="23">
        <v>29244</v>
      </c>
      <c r="BB169" s="19">
        <f>SUM(BC169+BG169+BJ169+BL169+BO169)</f>
        <v>224070</v>
      </c>
      <c r="BC169" s="19">
        <f>SUM(BD169:BF169)</f>
        <v>0</v>
      </c>
      <c r="BD169" s="19">
        <v>0</v>
      </c>
      <c r="BE169" s="19">
        <v>0</v>
      </c>
      <c r="BF169" s="19">
        <v>0</v>
      </c>
      <c r="BG169" s="19">
        <f>SUM(BI169:BI169)</f>
        <v>0</v>
      </c>
      <c r="BH169" s="19">
        <v>0</v>
      </c>
      <c r="BI169" s="19">
        <v>0</v>
      </c>
      <c r="BJ169" s="19">
        <v>0</v>
      </c>
      <c r="BK169" s="19">
        <v>0</v>
      </c>
      <c r="BL169" s="19">
        <f t="shared" si="379"/>
        <v>0</v>
      </c>
      <c r="BM169" s="19">
        <v>0</v>
      </c>
      <c r="BN169" s="19">
        <v>0</v>
      </c>
      <c r="BO169" s="19">
        <f>SUM(BP169:BZ169)</f>
        <v>224070</v>
      </c>
      <c r="BP169" s="19">
        <v>0</v>
      </c>
      <c r="BQ169" s="19">
        <v>0</v>
      </c>
      <c r="BR169" s="19">
        <v>0</v>
      </c>
      <c r="BS169" s="19">
        <v>0</v>
      </c>
      <c r="BT169" s="19">
        <v>0</v>
      </c>
      <c r="BU169" s="19">
        <v>0</v>
      </c>
      <c r="BV169" s="19">
        <v>0</v>
      </c>
      <c r="BW169" s="19">
        <v>0</v>
      </c>
      <c r="BX169" s="19">
        <v>0</v>
      </c>
      <c r="BY169" s="19">
        <v>0</v>
      </c>
      <c r="BZ169" s="23">
        <v>224070</v>
      </c>
      <c r="CA169" s="19">
        <f>SUM(CB169+CT169)</f>
        <v>57369</v>
      </c>
      <c r="CB169" s="19">
        <f>SUM(CC169+CF169+CL169)</f>
        <v>57369</v>
      </c>
      <c r="CC169" s="19">
        <f t="shared" si="380"/>
        <v>57369</v>
      </c>
      <c r="CD169" s="19">
        <v>0</v>
      </c>
      <c r="CE169" s="19">
        <v>57369</v>
      </c>
      <c r="CF169" s="19">
        <f>SUM(CG169:CK169)</f>
        <v>0</v>
      </c>
      <c r="CG169" s="19">
        <v>0</v>
      </c>
      <c r="CH169" s="19">
        <v>0</v>
      </c>
      <c r="CI169" s="19">
        <v>0</v>
      </c>
      <c r="CJ169" s="19">
        <v>0</v>
      </c>
      <c r="CK169" s="19">
        <v>0</v>
      </c>
      <c r="CL169" s="19">
        <f>SUM(CM169:CQ169)</f>
        <v>0</v>
      </c>
      <c r="CM169" s="19">
        <v>0</v>
      </c>
      <c r="CN169" s="19">
        <v>0</v>
      </c>
      <c r="CO169" s="19">
        <v>0</v>
      </c>
      <c r="CP169" s="19"/>
      <c r="CQ169" s="19"/>
      <c r="CR169" s="19"/>
      <c r="CS169" s="19"/>
      <c r="CT169" s="19">
        <v>0</v>
      </c>
      <c r="CU169" s="19"/>
      <c r="CV169" s="19"/>
      <c r="CW169" s="19"/>
      <c r="CX169" s="19">
        <f t="shared" si="382"/>
        <v>0</v>
      </c>
      <c r="CY169" s="19">
        <f t="shared" si="383"/>
        <v>0</v>
      </c>
      <c r="CZ169" s="19">
        <v>0</v>
      </c>
      <c r="DA169" s="20">
        <v>0</v>
      </c>
    </row>
    <row r="170" spans="1:106" ht="15.75" x14ac:dyDescent="0.25">
      <c r="A170" s="72" t="s">
        <v>1</v>
      </c>
      <c r="B170" s="21" t="s">
        <v>84</v>
      </c>
      <c r="C170" s="22" t="s">
        <v>267</v>
      </c>
      <c r="D170" s="18">
        <f>SUM(E170+CA170+CX170)</f>
        <v>20498502</v>
      </c>
      <c r="E170" s="19">
        <f>SUM(F170+BB170)</f>
        <v>20286401</v>
      </c>
      <c r="F170" s="19">
        <f t="shared" si="560"/>
        <v>20286401</v>
      </c>
      <c r="G170" s="23">
        <v>14297482</v>
      </c>
      <c r="H170" s="23">
        <v>3714394</v>
      </c>
      <c r="I170" s="19">
        <f t="shared" si="376"/>
        <v>1436910</v>
      </c>
      <c r="J170" s="23">
        <v>1087450</v>
      </c>
      <c r="K170" s="23">
        <v>0</v>
      </c>
      <c r="L170" s="23">
        <v>0</v>
      </c>
      <c r="M170" s="23">
        <v>0</v>
      </c>
      <c r="N170" s="23">
        <v>316715</v>
      </c>
      <c r="O170" s="23">
        <v>32745</v>
      </c>
      <c r="P170" s="19">
        <f t="shared" si="377"/>
        <v>0</v>
      </c>
      <c r="Q170" s="19">
        <v>0</v>
      </c>
      <c r="R170" s="23">
        <v>0</v>
      </c>
      <c r="S170" s="23">
        <v>0</v>
      </c>
      <c r="T170" s="23">
        <v>164225</v>
      </c>
      <c r="U170" s="19">
        <f t="shared" si="561"/>
        <v>667090</v>
      </c>
      <c r="V170" s="23">
        <v>0</v>
      </c>
      <c r="W170" s="23">
        <f>426621+1396+8988</f>
        <v>437005</v>
      </c>
      <c r="X170" s="23">
        <f>178342+18323</f>
        <v>196665</v>
      </c>
      <c r="Y170" s="23">
        <f>27456+1027</f>
        <v>28483</v>
      </c>
      <c r="Z170" s="23">
        <v>0</v>
      </c>
      <c r="AA170" s="23">
        <v>0</v>
      </c>
      <c r="AB170" s="23">
        <v>0</v>
      </c>
      <c r="AC170" s="23">
        <f>4210+727</f>
        <v>4937</v>
      </c>
      <c r="AD170" s="19">
        <v>0</v>
      </c>
      <c r="AE170" s="19">
        <f>SUM(AF170:BA170)</f>
        <v>6300</v>
      </c>
      <c r="AF170" s="19">
        <v>0</v>
      </c>
      <c r="AG170" s="19">
        <v>0</v>
      </c>
      <c r="AH170" s="23">
        <v>0</v>
      </c>
      <c r="AI170" s="23">
        <v>0</v>
      </c>
      <c r="AJ170" s="23">
        <v>0</v>
      </c>
      <c r="AK170" s="23">
        <v>0</v>
      </c>
      <c r="AL170" s="23">
        <v>0</v>
      </c>
      <c r="AM170" s="23">
        <v>0</v>
      </c>
      <c r="AN170" s="23">
        <v>0</v>
      </c>
      <c r="AO170" s="23">
        <v>0</v>
      </c>
      <c r="AP170" s="23">
        <v>0</v>
      </c>
      <c r="AQ170" s="23"/>
      <c r="AR170" s="23">
        <v>0</v>
      </c>
      <c r="AS170" s="23">
        <v>0</v>
      </c>
      <c r="AT170" s="23">
        <v>0</v>
      </c>
      <c r="AU170" s="23">
        <v>0</v>
      </c>
      <c r="AV170" s="23">
        <v>0</v>
      </c>
      <c r="AW170" s="23">
        <v>0</v>
      </c>
      <c r="AX170" s="23">
        <v>0</v>
      </c>
      <c r="AY170" s="23">
        <v>0</v>
      </c>
      <c r="AZ170" s="23">
        <v>0</v>
      </c>
      <c r="BA170" s="23">
        <v>6300</v>
      </c>
      <c r="BB170" s="19">
        <f>SUM(BC170+BG170+BJ170+BL170+BO170)</f>
        <v>0</v>
      </c>
      <c r="BC170" s="19">
        <f>SUM(BD170:BF170)</f>
        <v>0</v>
      </c>
      <c r="BD170" s="19">
        <v>0</v>
      </c>
      <c r="BE170" s="19">
        <v>0</v>
      </c>
      <c r="BF170" s="19">
        <v>0</v>
      </c>
      <c r="BG170" s="19">
        <f>SUM(BI170:BI170)</f>
        <v>0</v>
      </c>
      <c r="BH170" s="19">
        <v>0</v>
      </c>
      <c r="BI170" s="19">
        <v>0</v>
      </c>
      <c r="BJ170" s="19">
        <v>0</v>
      </c>
      <c r="BK170" s="19">
        <v>0</v>
      </c>
      <c r="BL170" s="19">
        <f t="shared" si="379"/>
        <v>0</v>
      </c>
      <c r="BM170" s="19">
        <v>0</v>
      </c>
      <c r="BN170" s="19">
        <v>0</v>
      </c>
      <c r="BO170" s="19">
        <f>SUM(BP170:BZ170)</f>
        <v>0</v>
      </c>
      <c r="BP170" s="19">
        <v>0</v>
      </c>
      <c r="BQ170" s="19">
        <v>0</v>
      </c>
      <c r="BR170" s="19">
        <v>0</v>
      </c>
      <c r="BS170" s="19">
        <v>0</v>
      </c>
      <c r="BT170" s="19">
        <v>0</v>
      </c>
      <c r="BU170" s="19">
        <v>0</v>
      </c>
      <c r="BV170" s="19">
        <v>0</v>
      </c>
      <c r="BW170" s="19">
        <v>0</v>
      </c>
      <c r="BX170" s="19">
        <v>0</v>
      </c>
      <c r="BY170" s="19">
        <v>0</v>
      </c>
      <c r="BZ170" s="19">
        <v>0</v>
      </c>
      <c r="CA170" s="19">
        <f>SUM(CB170+CT170)</f>
        <v>212101</v>
      </c>
      <c r="CB170" s="19">
        <f>SUM(CC170+CF170+CL170)</f>
        <v>212101</v>
      </c>
      <c r="CC170" s="19">
        <f t="shared" si="380"/>
        <v>212101</v>
      </c>
      <c r="CD170" s="19">
        <v>0</v>
      </c>
      <c r="CE170" s="19">
        <v>212101</v>
      </c>
      <c r="CF170" s="19">
        <f>SUM(CG170:CK170)</f>
        <v>0</v>
      </c>
      <c r="CG170" s="19">
        <v>0</v>
      </c>
      <c r="CH170" s="19">
        <v>0</v>
      </c>
      <c r="CI170" s="19">
        <v>0</v>
      </c>
      <c r="CJ170" s="19">
        <v>0</v>
      </c>
      <c r="CK170" s="19">
        <v>0</v>
      </c>
      <c r="CL170" s="19">
        <f>SUM(CM170:CQ170)</f>
        <v>0</v>
      </c>
      <c r="CM170" s="19">
        <v>0</v>
      </c>
      <c r="CN170" s="19">
        <v>0</v>
      </c>
      <c r="CO170" s="19">
        <v>0</v>
      </c>
      <c r="CP170" s="19"/>
      <c r="CQ170" s="19"/>
      <c r="CR170" s="19"/>
      <c r="CS170" s="19"/>
      <c r="CT170" s="19">
        <v>0</v>
      </c>
      <c r="CU170" s="19"/>
      <c r="CV170" s="19"/>
      <c r="CW170" s="19"/>
      <c r="CX170" s="19">
        <f t="shared" si="382"/>
        <v>0</v>
      </c>
      <c r="CY170" s="19">
        <f t="shared" si="383"/>
        <v>0</v>
      </c>
      <c r="CZ170" s="19">
        <v>0</v>
      </c>
      <c r="DA170" s="20">
        <v>0</v>
      </c>
    </row>
    <row r="171" spans="1:106" s="86" customFormat="1" ht="31.5" x14ac:dyDescent="0.25">
      <c r="A171" s="71" t="s">
        <v>268</v>
      </c>
      <c r="B171" s="16" t="s">
        <v>1</v>
      </c>
      <c r="C171" s="17" t="s">
        <v>584</v>
      </c>
      <c r="D171" s="18">
        <f>SUM(D172)</f>
        <v>30181636</v>
      </c>
      <c r="E171" s="18">
        <f t="shared" ref="E171:BU171" si="562">SUM(E172)</f>
        <v>30181636</v>
      </c>
      <c r="F171" s="18">
        <f t="shared" si="562"/>
        <v>30181636</v>
      </c>
      <c r="G171" s="18">
        <f t="shared" si="562"/>
        <v>0</v>
      </c>
      <c r="H171" s="18">
        <f t="shared" si="562"/>
        <v>0</v>
      </c>
      <c r="I171" s="18">
        <f t="shared" si="562"/>
        <v>29062441</v>
      </c>
      <c r="J171" s="18">
        <f t="shared" si="562"/>
        <v>29062441</v>
      </c>
      <c r="K171" s="18">
        <f t="shared" si="562"/>
        <v>0</v>
      </c>
      <c r="L171" s="18">
        <f t="shared" si="562"/>
        <v>0</v>
      </c>
      <c r="M171" s="18">
        <f t="shared" si="562"/>
        <v>0</v>
      </c>
      <c r="N171" s="18">
        <f t="shared" si="562"/>
        <v>0</v>
      </c>
      <c r="O171" s="18">
        <f t="shared" si="562"/>
        <v>0</v>
      </c>
      <c r="P171" s="18">
        <f t="shared" si="562"/>
        <v>0</v>
      </c>
      <c r="Q171" s="18">
        <f t="shared" si="562"/>
        <v>0</v>
      </c>
      <c r="R171" s="18">
        <f t="shared" si="562"/>
        <v>0</v>
      </c>
      <c r="S171" s="18">
        <f t="shared" si="562"/>
        <v>0</v>
      </c>
      <c r="T171" s="18">
        <f t="shared" si="562"/>
        <v>0</v>
      </c>
      <c r="U171" s="18">
        <f t="shared" si="562"/>
        <v>0</v>
      </c>
      <c r="V171" s="18">
        <f t="shared" si="562"/>
        <v>0</v>
      </c>
      <c r="W171" s="18">
        <f t="shared" si="562"/>
        <v>0</v>
      </c>
      <c r="X171" s="18">
        <f t="shared" si="562"/>
        <v>0</v>
      </c>
      <c r="Y171" s="18">
        <f t="shared" si="562"/>
        <v>0</v>
      </c>
      <c r="Z171" s="18">
        <f t="shared" si="562"/>
        <v>0</v>
      </c>
      <c r="AA171" s="18">
        <f t="shared" si="562"/>
        <v>0</v>
      </c>
      <c r="AB171" s="18">
        <f t="shared" si="562"/>
        <v>0</v>
      </c>
      <c r="AC171" s="18">
        <f t="shared" si="562"/>
        <v>0</v>
      </c>
      <c r="AD171" s="18">
        <f t="shared" si="562"/>
        <v>0</v>
      </c>
      <c r="AE171" s="18">
        <f t="shared" si="562"/>
        <v>1119195</v>
      </c>
      <c r="AF171" s="18">
        <f t="shared" si="562"/>
        <v>0</v>
      </c>
      <c r="AG171" s="18">
        <f t="shared" si="562"/>
        <v>0</v>
      </c>
      <c r="AH171" s="18">
        <f t="shared" si="562"/>
        <v>0</v>
      </c>
      <c r="AI171" s="18">
        <f t="shared" si="562"/>
        <v>0</v>
      </c>
      <c r="AJ171" s="18">
        <f t="shared" si="562"/>
        <v>0</v>
      </c>
      <c r="AK171" s="18">
        <f t="shared" si="562"/>
        <v>0</v>
      </c>
      <c r="AL171" s="18">
        <f t="shared" si="562"/>
        <v>0</v>
      </c>
      <c r="AM171" s="18">
        <f t="shared" si="562"/>
        <v>0</v>
      </c>
      <c r="AN171" s="18">
        <f t="shared" si="562"/>
        <v>0</v>
      </c>
      <c r="AO171" s="18">
        <f t="shared" si="562"/>
        <v>0</v>
      </c>
      <c r="AP171" s="18">
        <f t="shared" si="562"/>
        <v>0</v>
      </c>
      <c r="AQ171" s="18"/>
      <c r="AR171" s="18">
        <f t="shared" si="562"/>
        <v>0</v>
      </c>
      <c r="AS171" s="18">
        <f t="shared" si="562"/>
        <v>0</v>
      </c>
      <c r="AT171" s="18">
        <f t="shared" si="562"/>
        <v>0</v>
      </c>
      <c r="AU171" s="18"/>
      <c r="AV171" s="18"/>
      <c r="AW171" s="18">
        <f t="shared" si="562"/>
        <v>0</v>
      </c>
      <c r="AX171" s="18">
        <f t="shared" si="562"/>
        <v>0</v>
      </c>
      <c r="AY171" s="18">
        <f t="shared" si="562"/>
        <v>0</v>
      </c>
      <c r="AZ171" s="18"/>
      <c r="BA171" s="18">
        <f t="shared" si="562"/>
        <v>1119195</v>
      </c>
      <c r="BB171" s="18">
        <f t="shared" si="562"/>
        <v>0</v>
      </c>
      <c r="BC171" s="18">
        <f t="shared" si="562"/>
        <v>0</v>
      </c>
      <c r="BD171" s="18">
        <f t="shared" si="562"/>
        <v>0</v>
      </c>
      <c r="BE171" s="18">
        <f t="shared" si="562"/>
        <v>0</v>
      </c>
      <c r="BF171" s="18">
        <f t="shared" si="562"/>
        <v>0</v>
      </c>
      <c r="BG171" s="18">
        <f t="shared" si="562"/>
        <v>0</v>
      </c>
      <c r="BH171" s="18">
        <f t="shared" si="562"/>
        <v>0</v>
      </c>
      <c r="BI171" s="18">
        <f t="shared" si="562"/>
        <v>0</v>
      </c>
      <c r="BJ171" s="18">
        <f t="shared" si="562"/>
        <v>0</v>
      </c>
      <c r="BK171" s="18">
        <f t="shared" si="562"/>
        <v>0</v>
      </c>
      <c r="BL171" s="18">
        <f t="shared" si="562"/>
        <v>0</v>
      </c>
      <c r="BM171" s="18">
        <f t="shared" si="562"/>
        <v>0</v>
      </c>
      <c r="BN171" s="18">
        <f t="shared" si="562"/>
        <v>0</v>
      </c>
      <c r="BO171" s="18">
        <f t="shared" si="562"/>
        <v>0</v>
      </c>
      <c r="BP171" s="18">
        <f t="shared" si="562"/>
        <v>0</v>
      </c>
      <c r="BQ171" s="18">
        <f t="shared" si="562"/>
        <v>0</v>
      </c>
      <c r="BR171" s="18">
        <f t="shared" si="562"/>
        <v>0</v>
      </c>
      <c r="BS171" s="18">
        <f t="shared" si="562"/>
        <v>0</v>
      </c>
      <c r="BT171" s="18">
        <f t="shared" si="562"/>
        <v>0</v>
      </c>
      <c r="BU171" s="18">
        <f t="shared" si="562"/>
        <v>0</v>
      </c>
      <c r="BV171" s="18">
        <f t="shared" ref="BV171:DA171" si="563">SUM(BV172)</f>
        <v>0</v>
      </c>
      <c r="BW171" s="18">
        <f t="shared" si="563"/>
        <v>0</v>
      </c>
      <c r="BX171" s="18">
        <f t="shared" si="563"/>
        <v>0</v>
      </c>
      <c r="BY171" s="18">
        <f t="shared" si="563"/>
        <v>0</v>
      </c>
      <c r="BZ171" s="18">
        <f t="shared" si="563"/>
        <v>0</v>
      </c>
      <c r="CA171" s="18">
        <f t="shared" si="563"/>
        <v>0</v>
      </c>
      <c r="CB171" s="18">
        <f t="shared" si="563"/>
        <v>0</v>
      </c>
      <c r="CC171" s="18">
        <f t="shared" si="563"/>
        <v>0</v>
      </c>
      <c r="CD171" s="18">
        <f t="shared" si="563"/>
        <v>0</v>
      </c>
      <c r="CE171" s="18">
        <f t="shared" si="563"/>
        <v>0</v>
      </c>
      <c r="CF171" s="18">
        <f t="shared" si="563"/>
        <v>0</v>
      </c>
      <c r="CG171" s="18">
        <f t="shared" si="563"/>
        <v>0</v>
      </c>
      <c r="CH171" s="18">
        <f t="shared" si="563"/>
        <v>0</v>
      </c>
      <c r="CI171" s="18">
        <f t="shared" si="563"/>
        <v>0</v>
      </c>
      <c r="CJ171" s="18">
        <f t="shared" si="563"/>
        <v>0</v>
      </c>
      <c r="CK171" s="18">
        <f t="shared" si="563"/>
        <v>0</v>
      </c>
      <c r="CL171" s="18">
        <f t="shared" si="563"/>
        <v>0</v>
      </c>
      <c r="CM171" s="18">
        <f t="shared" si="563"/>
        <v>0</v>
      </c>
      <c r="CN171" s="18">
        <f t="shared" si="563"/>
        <v>0</v>
      </c>
      <c r="CO171" s="18">
        <f t="shared" si="563"/>
        <v>0</v>
      </c>
      <c r="CP171" s="18"/>
      <c r="CQ171" s="18"/>
      <c r="CR171" s="18"/>
      <c r="CS171" s="18"/>
      <c r="CT171" s="18">
        <f t="shared" si="563"/>
        <v>0</v>
      </c>
      <c r="CU171" s="18"/>
      <c r="CV171" s="18"/>
      <c r="CW171" s="18"/>
      <c r="CX171" s="18">
        <f t="shared" si="563"/>
        <v>0</v>
      </c>
      <c r="CY171" s="18">
        <f t="shared" si="563"/>
        <v>0</v>
      </c>
      <c r="CZ171" s="18">
        <f t="shared" si="563"/>
        <v>0</v>
      </c>
      <c r="DA171" s="46">
        <f t="shared" si="563"/>
        <v>0</v>
      </c>
      <c r="DB171" s="85"/>
    </row>
    <row r="172" spans="1:106" ht="31.5" x14ac:dyDescent="0.25">
      <c r="A172" s="72" t="s">
        <v>1</v>
      </c>
      <c r="B172" s="21" t="s">
        <v>84</v>
      </c>
      <c r="C172" s="22" t="s">
        <v>536</v>
      </c>
      <c r="D172" s="18">
        <f>SUM(E172+CA172+CX172)</f>
        <v>30181636</v>
      </c>
      <c r="E172" s="19">
        <f>SUM(F172+BB172)</f>
        <v>30181636</v>
      </c>
      <c r="F172" s="19">
        <f>SUM(G172+H172+I172+P172+S172+T172+U172+AE172)</f>
        <v>30181636</v>
      </c>
      <c r="G172" s="19">
        <v>0</v>
      </c>
      <c r="H172" s="19">
        <v>0</v>
      </c>
      <c r="I172" s="19">
        <f t="shared" si="376"/>
        <v>29062441</v>
      </c>
      <c r="J172" s="23">
        <v>29062441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f t="shared" si="377"/>
        <v>0</v>
      </c>
      <c r="Q172" s="19">
        <v>0</v>
      </c>
      <c r="R172" s="19">
        <v>0</v>
      </c>
      <c r="S172" s="19">
        <v>0</v>
      </c>
      <c r="T172" s="19">
        <v>0</v>
      </c>
      <c r="U172" s="19">
        <f t="shared" ref="U172" si="564">SUM(V172:AC172)</f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f>SUM(AF172:BA172)</f>
        <v>1119195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/>
      <c r="AR172" s="19">
        <v>0</v>
      </c>
      <c r="AS172" s="19">
        <v>0</v>
      </c>
      <c r="AT172" s="19">
        <v>0</v>
      </c>
      <c r="AU172" s="19">
        <v>0</v>
      </c>
      <c r="AV172" s="19">
        <v>0</v>
      </c>
      <c r="AW172" s="23">
        <v>0</v>
      </c>
      <c r="AX172" s="19">
        <v>0</v>
      </c>
      <c r="AY172" s="19">
        <v>0</v>
      </c>
      <c r="AZ172" s="19">
        <v>0</v>
      </c>
      <c r="BA172" s="24">
        <v>1119195</v>
      </c>
      <c r="BB172" s="19">
        <f>SUM(BC172+BG172+BJ172+BL172+BO172)</f>
        <v>0</v>
      </c>
      <c r="BC172" s="19">
        <f>SUM(BD172:BF172)</f>
        <v>0</v>
      </c>
      <c r="BD172" s="19">
        <v>0</v>
      </c>
      <c r="BE172" s="19">
        <v>0</v>
      </c>
      <c r="BF172" s="19">
        <v>0</v>
      </c>
      <c r="BG172" s="19">
        <f>SUM(BI172:BI172)</f>
        <v>0</v>
      </c>
      <c r="BH172" s="19">
        <v>0</v>
      </c>
      <c r="BI172" s="19">
        <v>0</v>
      </c>
      <c r="BJ172" s="19">
        <v>0</v>
      </c>
      <c r="BK172" s="19">
        <v>0</v>
      </c>
      <c r="BL172" s="19">
        <f t="shared" si="379"/>
        <v>0</v>
      </c>
      <c r="BM172" s="19">
        <v>0</v>
      </c>
      <c r="BN172" s="19">
        <v>0</v>
      </c>
      <c r="BO172" s="19">
        <f>SUM(BP172:BZ172)</f>
        <v>0</v>
      </c>
      <c r="BP172" s="19">
        <v>0</v>
      </c>
      <c r="BQ172" s="19">
        <v>0</v>
      </c>
      <c r="BR172" s="19">
        <v>0</v>
      </c>
      <c r="BS172" s="19">
        <v>0</v>
      </c>
      <c r="BT172" s="19">
        <v>0</v>
      </c>
      <c r="BU172" s="19">
        <v>0</v>
      </c>
      <c r="BV172" s="19">
        <v>0</v>
      </c>
      <c r="BW172" s="19">
        <v>0</v>
      </c>
      <c r="BX172" s="19">
        <v>0</v>
      </c>
      <c r="BY172" s="19">
        <v>0</v>
      </c>
      <c r="BZ172" s="19">
        <v>0</v>
      </c>
      <c r="CA172" s="19">
        <f>SUM(CB172+CT172)</f>
        <v>0</v>
      </c>
      <c r="CB172" s="19">
        <f>SUM(CC172+CF172+CL172)</f>
        <v>0</v>
      </c>
      <c r="CC172" s="19">
        <f t="shared" si="380"/>
        <v>0</v>
      </c>
      <c r="CD172" s="19">
        <v>0</v>
      </c>
      <c r="CE172" s="19">
        <v>0</v>
      </c>
      <c r="CF172" s="19">
        <f>SUM(CG172:CK172)</f>
        <v>0</v>
      </c>
      <c r="CG172" s="19">
        <v>0</v>
      </c>
      <c r="CH172" s="19">
        <v>0</v>
      </c>
      <c r="CI172" s="19">
        <v>0</v>
      </c>
      <c r="CJ172" s="19">
        <v>0</v>
      </c>
      <c r="CK172" s="19">
        <v>0</v>
      </c>
      <c r="CL172" s="19">
        <f>SUM(CM172:CQ172)</f>
        <v>0</v>
      </c>
      <c r="CM172" s="19">
        <v>0</v>
      </c>
      <c r="CN172" s="19">
        <v>0</v>
      </c>
      <c r="CO172" s="19">
        <v>0</v>
      </c>
      <c r="CP172" s="19"/>
      <c r="CQ172" s="19"/>
      <c r="CR172" s="19"/>
      <c r="CS172" s="19"/>
      <c r="CT172" s="19">
        <v>0</v>
      </c>
      <c r="CU172" s="19"/>
      <c r="CV172" s="19"/>
      <c r="CW172" s="19"/>
      <c r="CX172" s="19">
        <f t="shared" si="382"/>
        <v>0</v>
      </c>
      <c r="CY172" s="19">
        <f t="shared" si="383"/>
        <v>0</v>
      </c>
      <c r="CZ172" s="19">
        <v>0</v>
      </c>
      <c r="DA172" s="20">
        <v>0</v>
      </c>
    </row>
    <row r="173" spans="1:106" s="86" customFormat="1" ht="31.5" x14ac:dyDescent="0.25">
      <c r="A173" s="71" t="s">
        <v>269</v>
      </c>
      <c r="B173" s="16" t="s">
        <v>1</v>
      </c>
      <c r="C173" s="17" t="s">
        <v>270</v>
      </c>
      <c r="D173" s="18">
        <f t="shared" ref="D173:AK173" si="565">SUM(D174)</f>
        <v>4206906</v>
      </c>
      <c r="E173" s="18">
        <f t="shared" si="565"/>
        <v>4156068</v>
      </c>
      <c r="F173" s="18">
        <f t="shared" si="565"/>
        <v>4156068</v>
      </c>
      <c r="G173" s="18">
        <f t="shared" si="565"/>
        <v>3209691</v>
      </c>
      <c r="H173" s="18">
        <f t="shared" si="565"/>
        <v>764360</v>
      </c>
      <c r="I173" s="18">
        <f t="shared" si="565"/>
        <v>131794</v>
      </c>
      <c r="J173" s="18">
        <f t="shared" si="565"/>
        <v>0</v>
      </c>
      <c r="K173" s="18">
        <f t="shared" si="565"/>
        <v>1358</v>
      </c>
      <c r="L173" s="18">
        <f t="shared" si="565"/>
        <v>0</v>
      </c>
      <c r="M173" s="18">
        <f t="shared" si="565"/>
        <v>0</v>
      </c>
      <c r="N173" s="18">
        <f t="shared" si="565"/>
        <v>80529</v>
      </c>
      <c r="O173" s="18">
        <f t="shared" si="565"/>
        <v>49907</v>
      </c>
      <c r="P173" s="18">
        <f t="shared" si="565"/>
        <v>0</v>
      </c>
      <c r="Q173" s="18">
        <f t="shared" si="565"/>
        <v>0</v>
      </c>
      <c r="R173" s="18">
        <f t="shared" si="565"/>
        <v>0</v>
      </c>
      <c r="S173" s="18">
        <f t="shared" si="565"/>
        <v>0</v>
      </c>
      <c r="T173" s="18">
        <f t="shared" si="565"/>
        <v>44563</v>
      </c>
      <c r="U173" s="18">
        <f t="shared" si="565"/>
        <v>0</v>
      </c>
      <c r="V173" s="18">
        <f t="shared" si="565"/>
        <v>0</v>
      </c>
      <c r="W173" s="18">
        <f t="shared" si="565"/>
        <v>0</v>
      </c>
      <c r="X173" s="18">
        <f t="shared" si="565"/>
        <v>0</v>
      </c>
      <c r="Y173" s="18">
        <f t="shared" si="565"/>
        <v>0</v>
      </c>
      <c r="Z173" s="18">
        <f t="shared" si="565"/>
        <v>0</v>
      </c>
      <c r="AA173" s="18">
        <f t="shared" si="565"/>
        <v>0</v>
      </c>
      <c r="AB173" s="18">
        <f t="shared" si="565"/>
        <v>0</v>
      </c>
      <c r="AC173" s="18">
        <f t="shared" si="565"/>
        <v>0</v>
      </c>
      <c r="AD173" s="18">
        <f t="shared" si="565"/>
        <v>0</v>
      </c>
      <c r="AE173" s="18">
        <f t="shared" si="565"/>
        <v>5660</v>
      </c>
      <c r="AF173" s="18">
        <f t="shared" si="565"/>
        <v>0</v>
      </c>
      <c r="AG173" s="18">
        <f t="shared" si="565"/>
        <v>0</v>
      </c>
      <c r="AH173" s="18">
        <f t="shared" si="565"/>
        <v>0</v>
      </c>
      <c r="AI173" s="18">
        <f t="shared" si="565"/>
        <v>0</v>
      </c>
      <c r="AJ173" s="18">
        <f t="shared" si="565"/>
        <v>0</v>
      </c>
      <c r="AK173" s="18">
        <f t="shared" si="565"/>
        <v>375</v>
      </c>
      <c r="AL173" s="18">
        <f t="shared" ref="AL173:DA173" si="566">SUM(AL174)</f>
        <v>0</v>
      </c>
      <c r="AM173" s="18">
        <f t="shared" si="566"/>
        <v>3340</v>
      </c>
      <c r="AN173" s="18">
        <f t="shared" si="566"/>
        <v>195</v>
      </c>
      <c r="AO173" s="18">
        <f t="shared" si="566"/>
        <v>0</v>
      </c>
      <c r="AP173" s="18">
        <f t="shared" si="566"/>
        <v>0</v>
      </c>
      <c r="AQ173" s="18"/>
      <c r="AR173" s="18">
        <f t="shared" si="566"/>
        <v>0</v>
      </c>
      <c r="AS173" s="18">
        <f t="shared" si="566"/>
        <v>0</v>
      </c>
      <c r="AT173" s="18">
        <f t="shared" si="566"/>
        <v>0</v>
      </c>
      <c r="AU173" s="18"/>
      <c r="AV173" s="18"/>
      <c r="AW173" s="18">
        <f t="shared" si="566"/>
        <v>0</v>
      </c>
      <c r="AX173" s="18">
        <f t="shared" si="566"/>
        <v>0</v>
      </c>
      <c r="AY173" s="18">
        <f t="shared" si="566"/>
        <v>0</v>
      </c>
      <c r="AZ173" s="18"/>
      <c r="BA173" s="18">
        <f t="shared" si="566"/>
        <v>1750</v>
      </c>
      <c r="BB173" s="18">
        <f t="shared" si="566"/>
        <v>0</v>
      </c>
      <c r="BC173" s="18">
        <f t="shared" si="566"/>
        <v>0</v>
      </c>
      <c r="BD173" s="18">
        <f t="shared" si="566"/>
        <v>0</v>
      </c>
      <c r="BE173" s="18">
        <f t="shared" si="566"/>
        <v>0</v>
      </c>
      <c r="BF173" s="18">
        <f t="shared" si="566"/>
        <v>0</v>
      </c>
      <c r="BG173" s="18">
        <f t="shared" si="566"/>
        <v>0</v>
      </c>
      <c r="BH173" s="18">
        <f t="shared" si="566"/>
        <v>0</v>
      </c>
      <c r="BI173" s="18">
        <f t="shared" si="566"/>
        <v>0</v>
      </c>
      <c r="BJ173" s="18">
        <f t="shared" si="566"/>
        <v>0</v>
      </c>
      <c r="BK173" s="18">
        <f t="shared" si="566"/>
        <v>0</v>
      </c>
      <c r="BL173" s="18">
        <f t="shared" si="566"/>
        <v>0</v>
      </c>
      <c r="BM173" s="18">
        <f t="shared" si="566"/>
        <v>0</v>
      </c>
      <c r="BN173" s="18">
        <f t="shared" si="566"/>
        <v>0</v>
      </c>
      <c r="BO173" s="18">
        <f t="shared" si="566"/>
        <v>0</v>
      </c>
      <c r="BP173" s="18">
        <f t="shared" si="566"/>
        <v>0</v>
      </c>
      <c r="BQ173" s="18">
        <f t="shared" si="566"/>
        <v>0</v>
      </c>
      <c r="BR173" s="18">
        <f t="shared" si="566"/>
        <v>0</v>
      </c>
      <c r="BS173" s="18">
        <f t="shared" si="566"/>
        <v>0</v>
      </c>
      <c r="BT173" s="18">
        <f t="shared" si="566"/>
        <v>0</v>
      </c>
      <c r="BU173" s="18">
        <f t="shared" si="566"/>
        <v>0</v>
      </c>
      <c r="BV173" s="18">
        <f t="shared" si="566"/>
        <v>0</v>
      </c>
      <c r="BW173" s="18">
        <f t="shared" si="566"/>
        <v>0</v>
      </c>
      <c r="BX173" s="18">
        <f t="shared" si="566"/>
        <v>0</v>
      </c>
      <c r="BY173" s="18">
        <f t="shared" si="566"/>
        <v>0</v>
      </c>
      <c r="BZ173" s="18">
        <f t="shared" si="566"/>
        <v>0</v>
      </c>
      <c r="CA173" s="18">
        <f t="shared" si="566"/>
        <v>50838</v>
      </c>
      <c r="CB173" s="18">
        <f t="shared" si="566"/>
        <v>50838</v>
      </c>
      <c r="CC173" s="18">
        <f t="shared" si="566"/>
        <v>50838</v>
      </c>
      <c r="CD173" s="18">
        <f t="shared" si="566"/>
        <v>0</v>
      </c>
      <c r="CE173" s="18">
        <f t="shared" si="566"/>
        <v>50838</v>
      </c>
      <c r="CF173" s="18">
        <f t="shared" si="566"/>
        <v>0</v>
      </c>
      <c r="CG173" s="18">
        <f t="shared" si="566"/>
        <v>0</v>
      </c>
      <c r="CH173" s="18">
        <f t="shared" si="566"/>
        <v>0</v>
      </c>
      <c r="CI173" s="18">
        <f t="shared" si="566"/>
        <v>0</v>
      </c>
      <c r="CJ173" s="18">
        <f t="shared" si="566"/>
        <v>0</v>
      </c>
      <c r="CK173" s="18">
        <f t="shared" si="566"/>
        <v>0</v>
      </c>
      <c r="CL173" s="18">
        <f t="shared" si="566"/>
        <v>0</v>
      </c>
      <c r="CM173" s="18">
        <f t="shared" si="566"/>
        <v>0</v>
      </c>
      <c r="CN173" s="18">
        <f t="shared" si="566"/>
        <v>0</v>
      </c>
      <c r="CO173" s="18">
        <f t="shared" si="566"/>
        <v>0</v>
      </c>
      <c r="CP173" s="18"/>
      <c r="CQ173" s="18"/>
      <c r="CR173" s="18"/>
      <c r="CS173" s="18"/>
      <c r="CT173" s="18">
        <f t="shared" si="566"/>
        <v>0</v>
      </c>
      <c r="CU173" s="18"/>
      <c r="CV173" s="18"/>
      <c r="CW173" s="18"/>
      <c r="CX173" s="18">
        <f t="shared" si="566"/>
        <v>0</v>
      </c>
      <c r="CY173" s="18">
        <f t="shared" si="566"/>
        <v>0</v>
      </c>
      <c r="CZ173" s="18">
        <f t="shared" si="566"/>
        <v>0</v>
      </c>
      <c r="DA173" s="46">
        <f t="shared" si="566"/>
        <v>0</v>
      </c>
      <c r="DB173" s="85"/>
    </row>
    <row r="174" spans="1:106" ht="31.5" x14ac:dyDescent="0.25">
      <c r="A174" s="72" t="s">
        <v>1</v>
      </c>
      <c r="B174" s="21" t="s">
        <v>84</v>
      </c>
      <c r="C174" s="22" t="s">
        <v>271</v>
      </c>
      <c r="D174" s="18">
        <f>SUM(E174+CA174+CX174)</f>
        <v>4206906</v>
      </c>
      <c r="E174" s="19">
        <f>SUM(F174+BB174)</f>
        <v>4156068</v>
      </c>
      <c r="F174" s="19">
        <f>SUM(G174+H174+I174+P174+S174+T174+U174+AE174)</f>
        <v>4156068</v>
      </c>
      <c r="G174" s="23">
        <f>1946140+1263551</f>
        <v>3209691</v>
      </c>
      <c r="H174" s="23">
        <f>448134+316226</f>
        <v>764360</v>
      </c>
      <c r="I174" s="19">
        <f t="shared" si="376"/>
        <v>131794</v>
      </c>
      <c r="J174" s="23"/>
      <c r="K174" s="23">
        <v>1358</v>
      </c>
      <c r="L174" s="23"/>
      <c r="M174" s="23"/>
      <c r="N174" s="23">
        <v>80529</v>
      </c>
      <c r="O174" s="23">
        <v>49907</v>
      </c>
      <c r="P174" s="19">
        <f t="shared" si="377"/>
        <v>0</v>
      </c>
      <c r="Q174" s="19">
        <v>0</v>
      </c>
      <c r="R174" s="19">
        <v>0</v>
      </c>
      <c r="S174" s="19">
        <v>0</v>
      </c>
      <c r="T174" s="23">
        <v>44563</v>
      </c>
      <c r="U174" s="19">
        <f t="shared" ref="U174" si="567">SUM(V174:AC174)</f>
        <v>0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0</v>
      </c>
      <c r="AB174" s="19">
        <v>0</v>
      </c>
      <c r="AC174" s="19">
        <v>0</v>
      </c>
      <c r="AD174" s="19">
        <v>0</v>
      </c>
      <c r="AE174" s="19">
        <f>SUM(AF174:BA174)</f>
        <v>5660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23">
        <v>375</v>
      </c>
      <c r="AL174" s="23">
        <v>0</v>
      </c>
      <c r="AM174" s="23">
        <v>3340</v>
      </c>
      <c r="AN174" s="23">
        <v>195</v>
      </c>
      <c r="AO174" s="23">
        <v>0</v>
      </c>
      <c r="AP174" s="23">
        <v>0</v>
      </c>
      <c r="AQ174" s="23"/>
      <c r="AR174" s="23">
        <v>0</v>
      </c>
      <c r="AS174" s="23">
        <v>0</v>
      </c>
      <c r="AT174" s="23">
        <v>0</v>
      </c>
      <c r="AU174" s="23">
        <v>0</v>
      </c>
      <c r="AV174" s="23">
        <v>0</v>
      </c>
      <c r="AW174" s="23">
        <v>0</v>
      </c>
      <c r="AX174" s="23">
        <v>0</v>
      </c>
      <c r="AY174" s="23">
        <v>0</v>
      </c>
      <c r="AZ174" s="23">
        <v>0</v>
      </c>
      <c r="BA174" s="23">
        <v>1750</v>
      </c>
      <c r="BB174" s="19">
        <f>SUM(BC174+BG174+BJ174+BL174+BO174)</f>
        <v>0</v>
      </c>
      <c r="BC174" s="19">
        <f>SUM(BD174:BF174)</f>
        <v>0</v>
      </c>
      <c r="BD174" s="19">
        <v>0</v>
      </c>
      <c r="BE174" s="19">
        <v>0</v>
      </c>
      <c r="BF174" s="19">
        <v>0</v>
      </c>
      <c r="BG174" s="19">
        <f>SUM(BI174:BI174)</f>
        <v>0</v>
      </c>
      <c r="BH174" s="19">
        <v>0</v>
      </c>
      <c r="BI174" s="19">
        <v>0</v>
      </c>
      <c r="BJ174" s="19">
        <v>0</v>
      </c>
      <c r="BK174" s="19">
        <v>0</v>
      </c>
      <c r="BL174" s="19">
        <f t="shared" si="379"/>
        <v>0</v>
      </c>
      <c r="BM174" s="19">
        <v>0</v>
      </c>
      <c r="BN174" s="19">
        <v>0</v>
      </c>
      <c r="BO174" s="19">
        <f>SUM(BP174:BZ174)</f>
        <v>0</v>
      </c>
      <c r="BP174" s="19">
        <v>0</v>
      </c>
      <c r="BQ174" s="19">
        <v>0</v>
      </c>
      <c r="BR174" s="19">
        <v>0</v>
      </c>
      <c r="BS174" s="19">
        <v>0</v>
      </c>
      <c r="BT174" s="19">
        <v>0</v>
      </c>
      <c r="BU174" s="19">
        <v>0</v>
      </c>
      <c r="BV174" s="19">
        <v>0</v>
      </c>
      <c r="BW174" s="19">
        <v>0</v>
      </c>
      <c r="BX174" s="19">
        <v>0</v>
      </c>
      <c r="BY174" s="19">
        <v>0</v>
      </c>
      <c r="BZ174" s="19">
        <v>0</v>
      </c>
      <c r="CA174" s="19">
        <f>SUM(CB174+CT174)</f>
        <v>50838</v>
      </c>
      <c r="CB174" s="19">
        <f>SUM(CC174+CF174+CL174)</f>
        <v>50838</v>
      </c>
      <c r="CC174" s="19">
        <f t="shared" si="380"/>
        <v>50838</v>
      </c>
      <c r="CD174" s="19">
        <v>0</v>
      </c>
      <c r="CE174" s="23">
        <v>50838</v>
      </c>
      <c r="CF174" s="19">
        <f>SUM(CG174:CK174)</f>
        <v>0</v>
      </c>
      <c r="CG174" s="19">
        <v>0</v>
      </c>
      <c r="CH174" s="19">
        <v>0</v>
      </c>
      <c r="CI174" s="19">
        <v>0</v>
      </c>
      <c r="CJ174" s="19">
        <v>0</v>
      </c>
      <c r="CK174" s="19">
        <v>0</v>
      </c>
      <c r="CL174" s="19">
        <f>SUM(CM174:CQ174)</f>
        <v>0</v>
      </c>
      <c r="CM174" s="19">
        <v>0</v>
      </c>
      <c r="CN174" s="19">
        <v>0</v>
      </c>
      <c r="CO174" s="19">
        <v>0</v>
      </c>
      <c r="CP174" s="19"/>
      <c r="CQ174" s="19"/>
      <c r="CR174" s="19"/>
      <c r="CS174" s="19"/>
      <c r="CT174" s="19">
        <v>0</v>
      </c>
      <c r="CU174" s="19"/>
      <c r="CV174" s="19"/>
      <c r="CW174" s="19"/>
      <c r="CX174" s="19">
        <f t="shared" si="382"/>
        <v>0</v>
      </c>
      <c r="CY174" s="19">
        <f t="shared" si="383"/>
        <v>0</v>
      </c>
      <c r="CZ174" s="19">
        <v>0</v>
      </c>
      <c r="DA174" s="20">
        <v>0</v>
      </c>
    </row>
    <row r="175" spans="1:106" s="86" customFormat="1" ht="15.75" x14ac:dyDescent="0.25">
      <c r="A175" s="73" t="s">
        <v>272</v>
      </c>
      <c r="B175" s="25" t="s">
        <v>1</v>
      </c>
      <c r="C175" s="26" t="s">
        <v>273</v>
      </c>
      <c r="D175" s="27">
        <f>SUM(D176+D177+D178+D182+D184+D186+D188+D190+D198)</f>
        <v>709951250</v>
      </c>
      <c r="E175" s="27">
        <f t="shared" ref="E175:AT175" si="568">SUM(E176+E177+E178+E182+E184+E186+E188+E190+E198)</f>
        <v>709047175</v>
      </c>
      <c r="F175" s="27">
        <f t="shared" si="568"/>
        <v>171750081</v>
      </c>
      <c r="G175" s="27">
        <f t="shared" si="568"/>
        <v>23963008</v>
      </c>
      <c r="H175" s="27">
        <f t="shared" si="568"/>
        <v>5248436</v>
      </c>
      <c r="I175" s="27">
        <f t="shared" si="568"/>
        <v>10800402</v>
      </c>
      <c r="J175" s="27">
        <f t="shared" si="568"/>
        <v>1041437</v>
      </c>
      <c r="K175" s="27">
        <f t="shared" si="568"/>
        <v>486635</v>
      </c>
      <c r="L175" s="27">
        <f t="shared" si="568"/>
        <v>5477008</v>
      </c>
      <c r="M175" s="27">
        <f t="shared" si="568"/>
        <v>0</v>
      </c>
      <c r="N175" s="27">
        <f t="shared" si="568"/>
        <v>1851128</v>
      </c>
      <c r="O175" s="27">
        <f t="shared" si="568"/>
        <v>1944194</v>
      </c>
      <c r="P175" s="27">
        <f t="shared" si="568"/>
        <v>0</v>
      </c>
      <c r="Q175" s="27">
        <f t="shared" si="568"/>
        <v>0</v>
      </c>
      <c r="R175" s="27">
        <f t="shared" si="568"/>
        <v>0</v>
      </c>
      <c r="S175" s="27">
        <f t="shared" si="568"/>
        <v>0</v>
      </c>
      <c r="T175" s="27">
        <f t="shared" si="568"/>
        <v>138987</v>
      </c>
      <c r="U175" s="27">
        <f t="shared" si="568"/>
        <v>116607710</v>
      </c>
      <c r="V175" s="27">
        <f t="shared" si="568"/>
        <v>66641</v>
      </c>
      <c r="W175" s="27">
        <f t="shared" si="568"/>
        <v>896714</v>
      </c>
      <c r="X175" s="27">
        <f t="shared" si="568"/>
        <v>430132</v>
      </c>
      <c r="Y175" s="27">
        <f t="shared" si="568"/>
        <v>805407</v>
      </c>
      <c r="Z175" s="27">
        <f t="shared" si="568"/>
        <v>76871</v>
      </c>
      <c r="AA175" s="27">
        <f t="shared" si="568"/>
        <v>0</v>
      </c>
      <c r="AB175" s="27">
        <f t="shared" si="568"/>
        <v>114296960</v>
      </c>
      <c r="AC175" s="27">
        <f t="shared" si="568"/>
        <v>34985</v>
      </c>
      <c r="AD175" s="27">
        <f t="shared" ref="AD175" si="569">SUM(AD176+AD177+AD178+AD182+AD184+AD186+AD188+AD190+AD198)</f>
        <v>0</v>
      </c>
      <c r="AE175" s="27">
        <f t="shared" si="568"/>
        <v>14991538</v>
      </c>
      <c r="AF175" s="27">
        <f t="shared" si="568"/>
        <v>0</v>
      </c>
      <c r="AG175" s="27">
        <f t="shared" si="568"/>
        <v>0</v>
      </c>
      <c r="AH175" s="27">
        <f t="shared" si="568"/>
        <v>1500</v>
      </c>
      <c r="AI175" s="27">
        <f t="shared" si="568"/>
        <v>79207</v>
      </c>
      <c r="AJ175" s="27">
        <f t="shared" si="568"/>
        <v>0</v>
      </c>
      <c r="AK175" s="27">
        <f t="shared" si="568"/>
        <v>2858</v>
      </c>
      <c r="AL175" s="27">
        <f t="shared" si="568"/>
        <v>0</v>
      </c>
      <c r="AM175" s="27">
        <f t="shared" si="568"/>
        <v>13253</v>
      </c>
      <c r="AN175" s="27">
        <f t="shared" si="568"/>
        <v>0</v>
      </c>
      <c r="AO175" s="27">
        <f t="shared" si="568"/>
        <v>0</v>
      </c>
      <c r="AP175" s="27">
        <f t="shared" si="568"/>
        <v>1053</v>
      </c>
      <c r="AQ175" s="27"/>
      <c r="AR175" s="27">
        <f t="shared" si="568"/>
        <v>0</v>
      </c>
      <c r="AS175" s="27">
        <f t="shared" si="568"/>
        <v>81562</v>
      </c>
      <c r="AT175" s="27">
        <f t="shared" si="568"/>
        <v>61111</v>
      </c>
      <c r="AU175" s="27"/>
      <c r="AV175" s="27"/>
      <c r="AW175" s="27">
        <f>SUM(AW176+AW177+AW178+AW182+AW184+AW186+AW188+AW190+AW198)</f>
        <v>14088512</v>
      </c>
      <c r="AX175" s="27">
        <f>SUM(AX176+AX177+AX178+AX182+AX184+AX186+AX188+AX190+AX198)</f>
        <v>23437</v>
      </c>
      <c r="AY175" s="27">
        <f>SUM(AY176+AY177+AY178+AY182+AY184+AY186+AY188+AY190+AY198)</f>
        <v>0</v>
      </c>
      <c r="AZ175" s="27"/>
      <c r="BA175" s="27">
        <f t="shared" ref="BA175:CO175" si="570">SUM(BA176+BA177+BA178+BA182+BA184+BA186+BA188+BA190+BA198)</f>
        <v>639045</v>
      </c>
      <c r="BB175" s="27">
        <f t="shared" si="570"/>
        <v>537297094</v>
      </c>
      <c r="BC175" s="27">
        <f t="shared" si="570"/>
        <v>0</v>
      </c>
      <c r="BD175" s="27">
        <f t="shared" si="570"/>
        <v>0</v>
      </c>
      <c r="BE175" s="27">
        <f t="shared" si="570"/>
        <v>0</v>
      </c>
      <c r="BF175" s="27">
        <f t="shared" si="570"/>
        <v>0</v>
      </c>
      <c r="BG175" s="27">
        <f t="shared" si="570"/>
        <v>0</v>
      </c>
      <c r="BH175" s="27">
        <f t="shared" si="570"/>
        <v>0</v>
      </c>
      <c r="BI175" s="27">
        <f t="shared" si="570"/>
        <v>0</v>
      </c>
      <c r="BJ175" s="27">
        <f t="shared" si="570"/>
        <v>0</v>
      </c>
      <c r="BK175" s="27">
        <f t="shared" ref="BK175" si="571">SUM(BK176+BK177+BK178+BK182+BK184+BK186+BK188+BK190+BK198)</f>
        <v>0</v>
      </c>
      <c r="BL175" s="27">
        <f t="shared" si="570"/>
        <v>0</v>
      </c>
      <c r="BM175" s="27">
        <f t="shared" si="570"/>
        <v>0</v>
      </c>
      <c r="BN175" s="27">
        <f t="shared" si="570"/>
        <v>0</v>
      </c>
      <c r="BO175" s="27">
        <f t="shared" si="570"/>
        <v>537297094</v>
      </c>
      <c r="BP175" s="27">
        <f t="shared" si="570"/>
        <v>60034662</v>
      </c>
      <c r="BQ175" s="27">
        <f t="shared" si="570"/>
        <v>4021200</v>
      </c>
      <c r="BR175" s="27">
        <f t="shared" si="570"/>
        <v>0</v>
      </c>
      <c r="BS175" s="27">
        <f t="shared" si="570"/>
        <v>20658543</v>
      </c>
      <c r="BT175" s="27">
        <f t="shared" si="570"/>
        <v>25000</v>
      </c>
      <c r="BU175" s="27">
        <f t="shared" si="570"/>
        <v>0</v>
      </c>
      <c r="BV175" s="27">
        <f t="shared" si="570"/>
        <v>177892396</v>
      </c>
      <c r="BW175" s="27">
        <f t="shared" si="570"/>
        <v>1910000</v>
      </c>
      <c r="BX175" s="27">
        <f t="shared" si="570"/>
        <v>296784</v>
      </c>
      <c r="BY175" s="27">
        <f t="shared" si="570"/>
        <v>185916176</v>
      </c>
      <c r="BZ175" s="27">
        <f t="shared" si="570"/>
        <v>86542333</v>
      </c>
      <c r="CA175" s="27">
        <f t="shared" si="570"/>
        <v>904075</v>
      </c>
      <c r="CB175" s="27">
        <f t="shared" si="570"/>
        <v>904075</v>
      </c>
      <c r="CC175" s="27">
        <f t="shared" si="570"/>
        <v>807022</v>
      </c>
      <c r="CD175" s="27">
        <f t="shared" si="570"/>
        <v>0</v>
      </c>
      <c r="CE175" s="27">
        <f t="shared" si="570"/>
        <v>807022</v>
      </c>
      <c r="CF175" s="27">
        <f t="shared" si="570"/>
        <v>0</v>
      </c>
      <c r="CG175" s="27">
        <f t="shared" si="570"/>
        <v>0</v>
      </c>
      <c r="CH175" s="27">
        <f t="shared" si="570"/>
        <v>0</v>
      </c>
      <c r="CI175" s="27">
        <f t="shared" si="570"/>
        <v>0</v>
      </c>
      <c r="CJ175" s="27">
        <f t="shared" si="570"/>
        <v>0</v>
      </c>
      <c r="CK175" s="27">
        <f t="shared" ref="CK175" si="572">SUM(CK176+CK177+CK178+CK182+CK184+CK186+CK188+CK190+CK198)</f>
        <v>0</v>
      </c>
      <c r="CL175" s="27">
        <f t="shared" si="570"/>
        <v>97053</v>
      </c>
      <c r="CM175" s="27">
        <f t="shared" si="570"/>
        <v>0</v>
      </c>
      <c r="CN175" s="27">
        <f t="shared" si="570"/>
        <v>97053</v>
      </c>
      <c r="CO175" s="27">
        <f t="shared" si="570"/>
        <v>0</v>
      </c>
      <c r="CP175" s="27"/>
      <c r="CQ175" s="27"/>
      <c r="CR175" s="27"/>
      <c r="CS175" s="27"/>
      <c r="CT175" s="27">
        <f t="shared" ref="CT175:DA175" si="573">SUM(CT176+CT177+CT178+CT182+CT184+CT186+CT188+CT190+CT198)</f>
        <v>0</v>
      </c>
      <c r="CU175" s="27"/>
      <c r="CV175" s="27"/>
      <c r="CW175" s="27"/>
      <c r="CX175" s="27">
        <f t="shared" si="573"/>
        <v>0</v>
      </c>
      <c r="CY175" s="27">
        <f t="shared" si="573"/>
        <v>0</v>
      </c>
      <c r="CZ175" s="27">
        <f t="shared" si="573"/>
        <v>0</v>
      </c>
      <c r="DA175" s="55">
        <f t="shared" si="573"/>
        <v>0</v>
      </c>
      <c r="DB175" s="85"/>
    </row>
    <row r="176" spans="1:106" s="86" customFormat="1" ht="15.75" x14ac:dyDescent="0.25">
      <c r="A176" s="71" t="s">
        <v>274</v>
      </c>
      <c r="B176" s="16" t="s">
        <v>1</v>
      </c>
      <c r="C176" s="17" t="s">
        <v>275</v>
      </c>
      <c r="D176" s="18">
        <f>SUM(E176+CA176+CX176)</f>
        <v>99482734</v>
      </c>
      <c r="E176" s="18">
        <f>SUM(F176+BB176)</f>
        <v>99482734</v>
      </c>
      <c r="F176" s="18">
        <f t="shared" ref="F176:F177" si="574">SUM(G176+H176+I176+P176+S176+T176+U176+AE176)</f>
        <v>0</v>
      </c>
      <c r="G176" s="18">
        <v>0</v>
      </c>
      <c r="H176" s="18">
        <v>0</v>
      </c>
      <c r="I176" s="18">
        <f t="shared" si="376"/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f t="shared" si="377"/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f t="shared" ref="U176:U177" si="575">SUM(V176:AC176)</f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f>SUM(AF176:BA176)</f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/>
      <c r="AR176" s="18">
        <v>0</v>
      </c>
      <c r="AS176" s="18">
        <v>0</v>
      </c>
      <c r="AT176" s="18">
        <v>0</v>
      </c>
      <c r="AU176" s="18"/>
      <c r="AV176" s="18"/>
      <c r="AW176" s="18">
        <v>0</v>
      </c>
      <c r="AX176" s="18">
        <v>0</v>
      </c>
      <c r="AY176" s="18">
        <v>0</v>
      </c>
      <c r="AZ176" s="18"/>
      <c r="BA176" s="18">
        <v>0</v>
      </c>
      <c r="BB176" s="18">
        <f>SUM(BC176+BG176+BJ176+BL176+BO176)</f>
        <v>99482734</v>
      </c>
      <c r="BC176" s="18">
        <f>SUM(BD176:BF176)</f>
        <v>0</v>
      </c>
      <c r="BD176" s="18">
        <v>0</v>
      </c>
      <c r="BE176" s="18">
        <v>0</v>
      </c>
      <c r="BF176" s="18">
        <v>0</v>
      </c>
      <c r="BG176" s="18">
        <f>SUM(BI176:BI176)</f>
        <v>0</v>
      </c>
      <c r="BH176" s="18">
        <v>0</v>
      </c>
      <c r="BI176" s="18">
        <v>0</v>
      </c>
      <c r="BJ176" s="18">
        <v>0</v>
      </c>
      <c r="BK176" s="18">
        <v>0</v>
      </c>
      <c r="BL176" s="18">
        <f t="shared" si="379"/>
        <v>0</v>
      </c>
      <c r="BM176" s="18">
        <v>0</v>
      </c>
      <c r="BN176" s="18">
        <v>0</v>
      </c>
      <c r="BO176" s="18">
        <f>SUM(BP176:BZ176)</f>
        <v>99482734</v>
      </c>
      <c r="BP176" s="53">
        <f>48330768-80000-1585000</f>
        <v>46665768</v>
      </c>
      <c r="BQ176" s="53">
        <v>0</v>
      </c>
      <c r="BR176" s="53">
        <v>0</v>
      </c>
      <c r="BS176" s="53">
        <v>0</v>
      </c>
      <c r="BT176" s="53">
        <v>0</v>
      </c>
      <c r="BU176" s="53">
        <v>0</v>
      </c>
      <c r="BV176" s="53">
        <v>0</v>
      </c>
      <c r="BW176" s="53">
        <v>0</v>
      </c>
      <c r="BX176" s="53">
        <v>0</v>
      </c>
      <c r="BY176" s="53">
        <f>41971945-83743-2112309</f>
        <v>39775893</v>
      </c>
      <c r="BZ176" s="53">
        <f>598323+5937100+6505650</f>
        <v>13041073</v>
      </c>
      <c r="CA176" s="18">
        <f>SUM(CB176+CT176)</f>
        <v>0</v>
      </c>
      <c r="CB176" s="18">
        <f>SUM(CC176+CF176+CL176)</f>
        <v>0</v>
      </c>
      <c r="CC176" s="18">
        <f t="shared" si="380"/>
        <v>0</v>
      </c>
      <c r="CD176" s="18">
        <v>0</v>
      </c>
      <c r="CE176" s="18">
        <v>0</v>
      </c>
      <c r="CF176" s="18">
        <f>SUM(CG176:CK176)</f>
        <v>0</v>
      </c>
      <c r="CG176" s="18">
        <v>0</v>
      </c>
      <c r="CH176" s="18">
        <v>0</v>
      </c>
      <c r="CI176" s="18">
        <v>0</v>
      </c>
      <c r="CJ176" s="18">
        <v>0</v>
      </c>
      <c r="CK176" s="18">
        <v>0</v>
      </c>
      <c r="CL176" s="18">
        <f>SUM(CM176:CQ176)</f>
        <v>0</v>
      </c>
      <c r="CM176" s="18">
        <v>0</v>
      </c>
      <c r="CN176" s="18">
        <v>0</v>
      </c>
      <c r="CO176" s="18">
        <v>0</v>
      </c>
      <c r="CP176" s="18"/>
      <c r="CQ176" s="18"/>
      <c r="CR176" s="18"/>
      <c r="CS176" s="18"/>
      <c r="CT176" s="18">
        <v>0</v>
      </c>
      <c r="CU176" s="18"/>
      <c r="CV176" s="18"/>
      <c r="CW176" s="18"/>
      <c r="CX176" s="18">
        <f t="shared" si="382"/>
        <v>0</v>
      </c>
      <c r="CY176" s="18">
        <f t="shared" si="383"/>
        <v>0</v>
      </c>
      <c r="CZ176" s="18">
        <v>0</v>
      </c>
      <c r="DA176" s="46">
        <v>0</v>
      </c>
      <c r="DB176" s="85"/>
    </row>
    <row r="177" spans="1:106" s="86" customFormat="1" ht="31.5" x14ac:dyDescent="0.25">
      <c r="A177" s="71" t="s">
        <v>276</v>
      </c>
      <c r="B177" s="16" t="s">
        <v>1</v>
      </c>
      <c r="C177" s="17" t="s">
        <v>277</v>
      </c>
      <c r="D177" s="18">
        <f>SUM(E177+CA177+CX177)</f>
        <v>17431933</v>
      </c>
      <c r="E177" s="18">
        <f>SUM(F177+BB177)</f>
        <v>17431933</v>
      </c>
      <c r="F177" s="18">
        <f t="shared" si="574"/>
        <v>0</v>
      </c>
      <c r="G177" s="18">
        <v>0</v>
      </c>
      <c r="H177" s="18">
        <v>0</v>
      </c>
      <c r="I177" s="18">
        <f t="shared" si="376"/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f t="shared" si="377"/>
        <v>0</v>
      </c>
      <c r="Q177" s="18">
        <v>0</v>
      </c>
      <c r="R177" s="18">
        <v>0</v>
      </c>
      <c r="S177" s="18">
        <v>0</v>
      </c>
      <c r="T177" s="18">
        <v>0</v>
      </c>
      <c r="U177" s="18">
        <f t="shared" si="575"/>
        <v>0</v>
      </c>
      <c r="V177" s="18">
        <v>0</v>
      </c>
      <c r="W177" s="18">
        <v>0</v>
      </c>
      <c r="X177" s="18">
        <v>0</v>
      </c>
      <c r="Y177" s="18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0</v>
      </c>
      <c r="AE177" s="18">
        <f>SUM(AF177:BA177)</f>
        <v>0</v>
      </c>
      <c r="AF177" s="18">
        <v>0</v>
      </c>
      <c r="AG177" s="18">
        <v>0</v>
      </c>
      <c r="AH177" s="18">
        <v>0</v>
      </c>
      <c r="AI177" s="18">
        <v>0</v>
      </c>
      <c r="AJ177" s="18">
        <v>0</v>
      </c>
      <c r="AK177" s="18">
        <v>0</v>
      </c>
      <c r="AL177" s="18">
        <v>0</v>
      </c>
      <c r="AM177" s="18">
        <v>0</v>
      </c>
      <c r="AN177" s="18">
        <v>0</v>
      </c>
      <c r="AO177" s="18">
        <v>0</v>
      </c>
      <c r="AP177" s="18">
        <v>0</v>
      </c>
      <c r="AQ177" s="18"/>
      <c r="AR177" s="18">
        <v>0</v>
      </c>
      <c r="AS177" s="18">
        <v>0</v>
      </c>
      <c r="AT177" s="18">
        <v>0</v>
      </c>
      <c r="AU177" s="18"/>
      <c r="AV177" s="18"/>
      <c r="AW177" s="18">
        <v>0</v>
      </c>
      <c r="AX177" s="18">
        <v>0</v>
      </c>
      <c r="AY177" s="18">
        <v>0</v>
      </c>
      <c r="AZ177" s="18"/>
      <c r="BA177" s="18">
        <v>0</v>
      </c>
      <c r="BB177" s="18">
        <f>SUM(BC177+BG177+BJ177+BL177+BO177)</f>
        <v>17431933</v>
      </c>
      <c r="BC177" s="18">
        <f>SUM(BD177:BF177)</f>
        <v>0</v>
      </c>
      <c r="BD177" s="18">
        <v>0</v>
      </c>
      <c r="BE177" s="18">
        <v>0</v>
      </c>
      <c r="BF177" s="18">
        <v>0</v>
      </c>
      <c r="BG177" s="18">
        <f>SUM(BI177:BI177)</f>
        <v>0</v>
      </c>
      <c r="BH177" s="18">
        <v>0</v>
      </c>
      <c r="BI177" s="18">
        <v>0</v>
      </c>
      <c r="BJ177" s="18">
        <v>0</v>
      </c>
      <c r="BK177" s="18">
        <v>0</v>
      </c>
      <c r="BL177" s="18">
        <f t="shared" si="379"/>
        <v>0</v>
      </c>
      <c r="BM177" s="18">
        <v>0</v>
      </c>
      <c r="BN177" s="18">
        <v>0</v>
      </c>
      <c r="BO177" s="18">
        <f>SUM(BP177:BZ177)</f>
        <v>17431933</v>
      </c>
      <c r="BP177" s="53">
        <f>13460894-92000</f>
        <v>13368894</v>
      </c>
      <c r="BQ177" s="53">
        <v>0</v>
      </c>
      <c r="BR177" s="53">
        <v>0</v>
      </c>
      <c r="BS177" s="53">
        <v>0</v>
      </c>
      <c r="BT177" s="53">
        <v>0</v>
      </c>
      <c r="BU177" s="53">
        <v>0</v>
      </c>
      <c r="BV177" s="53">
        <v>0</v>
      </c>
      <c r="BW177" s="53">
        <v>0</v>
      </c>
      <c r="BX177" s="53">
        <v>0</v>
      </c>
      <c r="BY177" s="53">
        <f>3404430-208000</f>
        <v>3196430</v>
      </c>
      <c r="BZ177" s="53">
        <f>567659+147250+151700</f>
        <v>866609</v>
      </c>
      <c r="CA177" s="18">
        <f>SUM(CB177+CT177)</f>
        <v>0</v>
      </c>
      <c r="CB177" s="18">
        <f>SUM(CC177+CF177+CL177)</f>
        <v>0</v>
      </c>
      <c r="CC177" s="18">
        <f t="shared" si="380"/>
        <v>0</v>
      </c>
      <c r="CD177" s="18">
        <v>0</v>
      </c>
      <c r="CE177" s="18">
        <v>0</v>
      </c>
      <c r="CF177" s="18">
        <f>SUM(CG177:CK177)</f>
        <v>0</v>
      </c>
      <c r="CG177" s="18">
        <v>0</v>
      </c>
      <c r="CH177" s="18">
        <v>0</v>
      </c>
      <c r="CI177" s="18">
        <v>0</v>
      </c>
      <c r="CJ177" s="18">
        <v>0</v>
      </c>
      <c r="CK177" s="18">
        <v>0</v>
      </c>
      <c r="CL177" s="18">
        <f>SUM(CM177:CQ177)</f>
        <v>0</v>
      </c>
      <c r="CM177" s="18">
        <v>0</v>
      </c>
      <c r="CN177" s="18">
        <v>0</v>
      </c>
      <c r="CO177" s="18">
        <v>0</v>
      </c>
      <c r="CP177" s="18"/>
      <c r="CQ177" s="18"/>
      <c r="CR177" s="18"/>
      <c r="CS177" s="18"/>
      <c r="CT177" s="18">
        <v>0</v>
      </c>
      <c r="CU177" s="18"/>
      <c r="CV177" s="18"/>
      <c r="CW177" s="18"/>
      <c r="CX177" s="18">
        <f t="shared" si="382"/>
        <v>0</v>
      </c>
      <c r="CY177" s="18">
        <f t="shared" si="383"/>
        <v>0</v>
      </c>
      <c r="CZ177" s="18">
        <v>0</v>
      </c>
      <c r="DA177" s="46">
        <v>0</v>
      </c>
      <c r="DB177" s="85"/>
    </row>
    <row r="178" spans="1:106" s="86" customFormat="1" ht="15.75" x14ac:dyDescent="0.25">
      <c r="A178" s="71" t="s">
        <v>278</v>
      </c>
      <c r="B178" s="16" t="s">
        <v>1</v>
      </c>
      <c r="C178" s="17" t="s">
        <v>279</v>
      </c>
      <c r="D178" s="18">
        <f>SUM(D179:D181)</f>
        <v>38756968</v>
      </c>
      <c r="E178" s="18">
        <f t="shared" ref="E178:BU178" si="576">SUM(E179:E181)</f>
        <v>37895215</v>
      </c>
      <c r="F178" s="18">
        <f t="shared" si="576"/>
        <v>37895215</v>
      </c>
      <c r="G178" s="18">
        <f>SUM(G179:G181)</f>
        <v>22056281</v>
      </c>
      <c r="H178" s="18">
        <f>SUM(H179:H181)</f>
        <v>5049201</v>
      </c>
      <c r="I178" s="18">
        <f t="shared" si="576"/>
        <v>8157504</v>
      </c>
      <c r="J178" s="18">
        <f t="shared" si="576"/>
        <v>1041437</v>
      </c>
      <c r="K178" s="18">
        <f t="shared" si="576"/>
        <v>476635</v>
      </c>
      <c r="L178" s="18">
        <f t="shared" si="576"/>
        <v>5477008</v>
      </c>
      <c r="M178" s="18">
        <f t="shared" si="576"/>
        <v>0</v>
      </c>
      <c r="N178" s="18">
        <f t="shared" si="576"/>
        <v>865914</v>
      </c>
      <c r="O178" s="18">
        <f t="shared" si="576"/>
        <v>296510</v>
      </c>
      <c r="P178" s="18">
        <f t="shared" si="576"/>
        <v>0</v>
      </c>
      <c r="Q178" s="18">
        <f t="shared" si="576"/>
        <v>0</v>
      </c>
      <c r="R178" s="18">
        <f t="shared" si="576"/>
        <v>0</v>
      </c>
      <c r="S178" s="18">
        <f t="shared" si="576"/>
        <v>0</v>
      </c>
      <c r="T178" s="18">
        <f t="shared" si="576"/>
        <v>67154</v>
      </c>
      <c r="U178" s="18">
        <f t="shared" si="576"/>
        <v>2310750</v>
      </c>
      <c r="V178" s="18">
        <f t="shared" si="576"/>
        <v>66641</v>
      </c>
      <c r="W178" s="18">
        <f t="shared" si="576"/>
        <v>896714</v>
      </c>
      <c r="X178" s="18">
        <f t="shared" si="576"/>
        <v>430132</v>
      </c>
      <c r="Y178" s="18">
        <f t="shared" si="576"/>
        <v>805407</v>
      </c>
      <c r="Z178" s="18">
        <f t="shared" si="576"/>
        <v>76871</v>
      </c>
      <c r="AA178" s="18">
        <f t="shared" si="576"/>
        <v>0</v>
      </c>
      <c r="AB178" s="18">
        <f t="shared" si="576"/>
        <v>0</v>
      </c>
      <c r="AC178" s="18">
        <f t="shared" si="576"/>
        <v>34985</v>
      </c>
      <c r="AD178" s="18">
        <f t="shared" ref="AD178" si="577">SUM(AD179:AD181)</f>
        <v>0</v>
      </c>
      <c r="AE178" s="18">
        <f t="shared" si="576"/>
        <v>254325</v>
      </c>
      <c r="AF178" s="18">
        <f t="shared" si="576"/>
        <v>0</v>
      </c>
      <c r="AG178" s="18">
        <f t="shared" si="576"/>
        <v>0</v>
      </c>
      <c r="AH178" s="18">
        <f t="shared" si="576"/>
        <v>1500</v>
      </c>
      <c r="AI178" s="18">
        <f t="shared" si="576"/>
        <v>79207</v>
      </c>
      <c r="AJ178" s="18">
        <f t="shared" si="576"/>
        <v>0</v>
      </c>
      <c r="AK178" s="18">
        <f t="shared" si="576"/>
        <v>2858</v>
      </c>
      <c r="AL178" s="18">
        <f t="shared" si="576"/>
        <v>0</v>
      </c>
      <c r="AM178" s="18">
        <f t="shared" si="576"/>
        <v>13253</v>
      </c>
      <c r="AN178" s="18">
        <f t="shared" si="576"/>
        <v>0</v>
      </c>
      <c r="AO178" s="18">
        <f t="shared" si="576"/>
        <v>0</v>
      </c>
      <c r="AP178" s="18">
        <f t="shared" si="576"/>
        <v>1053</v>
      </c>
      <c r="AQ178" s="18"/>
      <c r="AR178" s="18">
        <f t="shared" si="576"/>
        <v>0</v>
      </c>
      <c r="AS178" s="18">
        <f t="shared" si="576"/>
        <v>81562</v>
      </c>
      <c r="AT178" s="18">
        <f t="shared" si="576"/>
        <v>61111</v>
      </c>
      <c r="AU178" s="18"/>
      <c r="AV178" s="18"/>
      <c r="AW178" s="18">
        <f t="shared" si="576"/>
        <v>6304</v>
      </c>
      <c r="AX178" s="18">
        <f t="shared" si="576"/>
        <v>0</v>
      </c>
      <c r="AY178" s="18">
        <f t="shared" si="576"/>
        <v>0</v>
      </c>
      <c r="AZ178" s="18"/>
      <c r="BA178" s="18">
        <f t="shared" si="576"/>
        <v>7477</v>
      </c>
      <c r="BB178" s="18">
        <f t="shared" si="576"/>
        <v>0</v>
      </c>
      <c r="BC178" s="18">
        <f t="shared" si="576"/>
        <v>0</v>
      </c>
      <c r="BD178" s="18">
        <f t="shared" si="576"/>
        <v>0</v>
      </c>
      <c r="BE178" s="18">
        <f t="shared" si="576"/>
        <v>0</v>
      </c>
      <c r="BF178" s="18">
        <f t="shared" si="576"/>
        <v>0</v>
      </c>
      <c r="BG178" s="18">
        <f t="shared" si="576"/>
        <v>0</v>
      </c>
      <c r="BH178" s="18">
        <f t="shared" si="576"/>
        <v>0</v>
      </c>
      <c r="BI178" s="18">
        <f t="shared" si="576"/>
        <v>0</v>
      </c>
      <c r="BJ178" s="18">
        <f t="shared" si="576"/>
        <v>0</v>
      </c>
      <c r="BK178" s="18">
        <f t="shared" ref="BK178" si="578">SUM(BK179:BK181)</f>
        <v>0</v>
      </c>
      <c r="BL178" s="18">
        <f t="shared" si="576"/>
        <v>0</v>
      </c>
      <c r="BM178" s="18">
        <f t="shared" si="576"/>
        <v>0</v>
      </c>
      <c r="BN178" s="18">
        <f t="shared" ref="BN178" si="579">SUM(BN179:BN181)</f>
        <v>0</v>
      </c>
      <c r="BO178" s="18">
        <f t="shared" si="576"/>
        <v>0</v>
      </c>
      <c r="BP178" s="18">
        <f t="shared" si="576"/>
        <v>0</v>
      </c>
      <c r="BQ178" s="18">
        <f t="shared" si="576"/>
        <v>0</v>
      </c>
      <c r="BR178" s="18">
        <f t="shared" si="576"/>
        <v>0</v>
      </c>
      <c r="BS178" s="18">
        <f t="shared" si="576"/>
        <v>0</v>
      </c>
      <c r="BT178" s="18">
        <f t="shared" si="576"/>
        <v>0</v>
      </c>
      <c r="BU178" s="18">
        <f t="shared" si="576"/>
        <v>0</v>
      </c>
      <c r="BV178" s="18">
        <f t="shared" ref="BV178:DA178" si="580">SUM(BV179:BV181)</f>
        <v>0</v>
      </c>
      <c r="BW178" s="18">
        <f t="shared" si="580"/>
        <v>0</v>
      </c>
      <c r="BX178" s="18">
        <f t="shared" si="580"/>
        <v>0</v>
      </c>
      <c r="BY178" s="18">
        <f t="shared" si="580"/>
        <v>0</v>
      </c>
      <c r="BZ178" s="18">
        <f t="shared" si="580"/>
        <v>0</v>
      </c>
      <c r="CA178" s="18">
        <f t="shared" si="580"/>
        <v>861753</v>
      </c>
      <c r="CB178" s="18">
        <f t="shared" si="580"/>
        <v>861753</v>
      </c>
      <c r="CC178" s="18">
        <f t="shared" si="580"/>
        <v>764700</v>
      </c>
      <c r="CD178" s="18">
        <f t="shared" si="580"/>
        <v>0</v>
      </c>
      <c r="CE178" s="18">
        <f t="shared" si="580"/>
        <v>764700</v>
      </c>
      <c r="CF178" s="18">
        <f t="shared" si="580"/>
        <v>0</v>
      </c>
      <c r="CG178" s="18">
        <f t="shared" si="580"/>
        <v>0</v>
      </c>
      <c r="CH178" s="18">
        <f t="shared" ref="CH178:CI178" si="581">SUM(CH179:CH181)</f>
        <v>0</v>
      </c>
      <c r="CI178" s="18">
        <f t="shared" si="581"/>
        <v>0</v>
      </c>
      <c r="CJ178" s="18">
        <f t="shared" si="580"/>
        <v>0</v>
      </c>
      <c r="CK178" s="18">
        <f t="shared" ref="CK178" si="582">SUM(CK179:CK181)</f>
        <v>0</v>
      </c>
      <c r="CL178" s="18">
        <f t="shared" si="580"/>
        <v>97053</v>
      </c>
      <c r="CM178" s="18">
        <f t="shared" si="580"/>
        <v>0</v>
      </c>
      <c r="CN178" s="18">
        <f t="shared" ref="CN178" si="583">SUM(CN179:CN181)</f>
        <v>97053</v>
      </c>
      <c r="CO178" s="18">
        <f t="shared" si="580"/>
        <v>0</v>
      </c>
      <c r="CP178" s="18"/>
      <c r="CQ178" s="18"/>
      <c r="CR178" s="18"/>
      <c r="CS178" s="18"/>
      <c r="CT178" s="18">
        <f t="shared" si="580"/>
        <v>0</v>
      </c>
      <c r="CU178" s="18"/>
      <c r="CV178" s="18"/>
      <c r="CW178" s="18"/>
      <c r="CX178" s="18">
        <f t="shared" si="580"/>
        <v>0</v>
      </c>
      <c r="CY178" s="18">
        <f t="shared" si="580"/>
        <v>0</v>
      </c>
      <c r="CZ178" s="18">
        <f t="shared" si="580"/>
        <v>0</v>
      </c>
      <c r="DA178" s="46">
        <f t="shared" si="580"/>
        <v>0</v>
      </c>
      <c r="DB178" s="85"/>
    </row>
    <row r="179" spans="1:106" ht="15.75" x14ac:dyDescent="0.25">
      <c r="A179" s="72" t="s">
        <v>1</v>
      </c>
      <c r="B179" s="21" t="s">
        <v>82</v>
      </c>
      <c r="C179" s="22" t="s">
        <v>280</v>
      </c>
      <c r="D179" s="18">
        <f>SUM(E179+CA179+CX179)</f>
        <v>6803063</v>
      </c>
      <c r="E179" s="19">
        <f>SUM(F179+BB179)</f>
        <v>6653080</v>
      </c>
      <c r="F179" s="19">
        <f t="shared" ref="F179:F181" si="584">SUM(G179+H179+I179+P179+S179+T179+U179+AE179)</f>
        <v>6653080</v>
      </c>
      <c r="G179" s="23">
        <f>3445625+789622</f>
        <v>4235247</v>
      </c>
      <c r="H179" s="23">
        <f>808033+185175</f>
        <v>993208</v>
      </c>
      <c r="I179" s="19">
        <f t="shared" si="376"/>
        <v>1172263</v>
      </c>
      <c r="J179" s="23">
        <f>267480-127370</f>
        <v>140110</v>
      </c>
      <c r="K179" s="23">
        <v>30348</v>
      </c>
      <c r="L179" s="23">
        <v>632612</v>
      </c>
      <c r="M179" s="23">
        <v>0</v>
      </c>
      <c r="N179" s="23">
        <v>182274</v>
      </c>
      <c r="O179" s="23">
        <f>63314+125000-1395</f>
        <v>186919</v>
      </c>
      <c r="P179" s="19">
        <f t="shared" si="377"/>
        <v>0</v>
      </c>
      <c r="Q179" s="19">
        <v>0</v>
      </c>
      <c r="R179" s="19">
        <v>0</v>
      </c>
      <c r="S179" s="19">
        <v>0</v>
      </c>
      <c r="T179" s="23">
        <v>8869</v>
      </c>
      <c r="U179" s="19">
        <f t="shared" ref="U179:U181" si="585">SUM(V179:AC179)</f>
        <v>208062</v>
      </c>
      <c r="V179" s="23">
        <f>7136+16472</f>
        <v>23608</v>
      </c>
      <c r="W179" s="23">
        <f>28893+941</f>
        <v>29834</v>
      </c>
      <c r="X179" s="23">
        <f>47695+5678</f>
        <v>53373</v>
      </c>
      <c r="Y179" s="23">
        <f>36642+32942</f>
        <v>69584</v>
      </c>
      <c r="Z179" s="23">
        <f>19570-6636</f>
        <v>12934</v>
      </c>
      <c r="AA179" s="23">
        <v>0</v>
      </c>
      <c r="AB179" s="23">
        <v>0</v>
      </c>
      <c r="AC179" s="23">
        <f>16359+2370</f>
        <v>18729</v>
      </c>
      <c r="AD179" s="19">
        <v>0</v>
      </c>
      <c r="AE179" s="19">
        <f>SUM(AF179:BA179)</f>
        <v>35431</v>
      </c>
      <c r="AF179" s="19">
        <v>0</v>
      </c>
      <c r="AG179" s="19">
        <v>0</v>
      </c>
      <c r="AH179" s="19">
        <v>0</v>
      </c>
      <c r="AI179" s="23">
        <v>4130</v>
      </c>
      <c r="AJ179" s="23">
        <v>0</v>
      </c>
      <c r="AK179" s="23">
        <v>0</v>
      </c>
      <c r="AL179" s="23">
        <v>0</v>
      </c>
      <c r="AM179" s="23">
        <v>101</v>
      </c>
      <c r="AN179" s="23">
        <v>0</v>
      </c>
      <c r="AO179" s="23">
        <v>0</v>
      </c>
      <c r="AP179" s="23">
        <v>0</v>
      </c>
      <c r="AQ179" s="23"/>
      <c r="AR179" s="23">
        <v>0</v>
      </c>
      <c r="AS179" s="23">
        <v>19200</v>
      </c>
      <c r="AT179" s="23">
        <v>12000</v>
      </c>
      <c r="AU179" s="23">
        <v>0</v>
      </c>
      <c r="AV179" s="23">
        <v>0</v>
      </c>
      <c r="AW179" s="23">
        <v>0</v>
      </c>
      <c r="AX179" s="23">
        <v>0</v>
      </c>
      <c r="AY179" s="23">
        <v>0</v>
      </c>
      <c r="AZ179" s="23">
        <v>0</v>
      </c>
      <c r="BA179" s="23">
        <v>0</v>
      </c>
      <c r="BB179" s="19">
        <f>SUM(BC179+BG179+BJ179+BL179+BO179)</f>
        <v>0</v>
      </c>
      <c r="BC179" s="19">
        <f>SUM(BD179:BF179)</f>
        <v>0</v>
      </c>
      <c r="BD179" s="19">
        <v>0</v>
      </c>
      <c r="BE179" s="19">
        <v>0</v>
      </c>
      <c r="BF179" s="19">
        <v>0</v>
      </c>
      <c r="BG179" s="19">
        <f>SUM(BI179:BI179)</f>
        <v>0</v>
      </c>
      <c r="BH179" s="19">
        <v>0</v>
      </c>
      <c r="BI179" s="19">
        <v>0</v>
      </c>
      <c r="BJ179" s="19">
        <v>0</v>
      </c>
      <c r="BK179" s="19">
        <v>0</v>
      </c>
      <c r="BL179" s="19">
        <f t="shared" si="379"/>
        <v>0</v>
      </c>
      <c r="BM179" s="19">
        <v>0</v>
      </c>
      <c r="BN179" s="19">
        <v>0</v>
      </c>
      <c r="BO179" s="19">
        <f>SUM(BP179:BZ179)</f>
        <v>0</v>
      </c>
      <c r="BP179" s="19">
        <v>0</v>
      </c>
      <c r="BQ179" s="19">
        <v>0</v>
      </c>
      <c r="BR179" s="19">
        <v>0</v>
      </c>
      <c r="BS179" s="19">
        <v>0</v>
      </c>
      <c r="BT179" s="19">
        <v>0</v>
      </c>
      <c r="BU179" s="19">
        <v>0</v>
      </c>
      <c r="BV179" s="19">
        <v>0</v>
      </c>
      <c r="BW179" s="19">
        <v>0</v>
      </c>
      <c r="BX179" s="19">
        <v>0</v>
      </c>
      <c r="BY179" s="19">
        <v>0</v>
      </c>
      <c r="BZ179" s="19">
        <v>0</v>
      </c>
      <c r="CA179" s="19">
        <f>SUM(CB179+CT179)</f>
        <v>149983</v>
      </c>
      <c r="CB179" s="19">
        <f>SUM(CC179+CF179+CL179)</f>
        <v>149983</v>
      </c>
      <c r="CC179" s="19">
        <f t="shared" si="380"/>
        <v>52930</v>
      </c>
      <c r="CD179" s="19">
        <v>0</v>
      </c>
      <c r="CE179" s="23">
        <v>52930</v>
      </c>
      <c r="CF179" s="19">
        <f t="shared" ref="CF179:CF181" si="586">SUM(CG179:CK179)</f>
        <v>0</v>
      </c>
      <c r="CG179" s="19">
        <v>0</v>
      </c>
      <c r="CH179" s="19">
        <v>0</v>
      </c>
      <c r="CI179" s="19">
        <v>0</v>
      </c>
      <c r="CJ179" s="19">
        <v>0</v>
      </c>
      <c r="CK179" s="19">
        <v>0</v>
      </c>
      <c r="CL179" s="19">
        <f>SUM(CM179:CQ179)</f>
        <v>97053</v>
      </c>
      <c r="CM179" s="19">
        <v>0</v>
      </c>
      <c r="CN179" s="19">
        <f>0+97053</f>
        <v>97053</v>
      </c>
      <c r="CO179" s="19">
        <v>0</v>
      </c>
      <c r="CP179" s="19"/>
      <c r="CQ179" s="19"/>
      <c r="CR179" s="19"/>
      <c r="CS179" s="19"/>
      <c r="CT179" s="19">
        <v>0</v>
      </c>
      <c r="CU179" s="19"/>
      <c r="CV179" s="19"/>
      <c r="CW179" s="19"/>
      <c r="CX179" s="19">
        <f t="shared" si="382"/>
        <v>0</v>
      </c>
      <c r="CY179" s="19">
        <f t="shared" si="383"/>
        <v>0</v>
      </c>
      <c r="CZ179" s="19">
        <v>0</v>
      </c>
      <c r="DA179" s="20">
        <v>0</v>
      </c>
    </row>
    <row r="180" spans="1:106" s="84" customFormat="1" ht="15.75" x14ac:dyDescent="0.25">
      <c r="A180" s="74" t="s">
        <v>1</v>
      </c>
      <c r="B180" s="36" t="s">
        <v>82</v>
      </c>
      <c r="C180" s="37" t="s">
        <v>281</v>
      </c>
      <c r="D180" s="38">
        <f>SUM(E180+CA180+CX180)</f>
        <v>30932547</v>
      </c>
      <c r="E180" s="39">
        <f>SUM(F180+BB180)</f>
        <v>30220777</v>
      </c>
      <c r="F180" s="39">
        <f t="shared" si="584"/>
        <v>30220777</v>
      </c>
      <c r="G180" s="35">
        <f>13378472+3163343+493404</f>
        <v>17035219</v>
      </c>
      <c r="H180" s="35">
        <f>3051964+722583+112496</f>
        <v>3887043</v>
      </c>
      <c r="I180" s="39">
        <f t="shared" si="376"/>
        <v>6929306</v>
      </c>
      <c r="J180" s="35">
        <f>880803+20524</f>
        <v>901327</v>
      </c>
      <c r="K180" s="35">
        <f>524981-78694</f>
        <v>446287</v>
      </c>
      <c r="L180" s="35">
        <f>4674917+103348+86988-20857</f>
        <v>4844396</v>
      </c>
      <c r="M180" s="35">
        <v>0</v>
      </c>
      <c r="N180" s="35">
        <f>618348+17452-2308</f>
        <v>633492</v>
      </c>
      <c r="O180" s="35">
        <v>103804</v>
      </c>
      <c r="P180" s="39">
        <f t="shared" si="377"/>
        <v>0</v>
      </c>
      <c r="Q180" s="39">
        <v>0</v>
      </c>
      <c r="R180" s="39">
        <v>0</v>
      </c>
      <c r="S180" s="39">
        <v>0</v>
      </c>
      <c r="T180" s="35">
        <f>49435+2182</f>
        <v>51617</v>
      </c>
      <c r="U180" s="39">
        <f t="shared" si="585"/>
        <v>2099751</v>
      </c>
      <c r="V180" s="35">
        <f>44857-1824</f>
        <v>43033</v>
      </c>
      <c r="W180" s="35">
        <f>835865+15955+22491-9161</f>
        <v>865150</v>
      </c>
      <c r="X180" s="35">
        <f>335857+7283+32695</f>
        <v>375835</v>
      </c>
      <c r="Y180" s="35">
        <f>722756+9263+3521</f>
        <v>735540</v>
      </c>
      <c r="Z180" s="35">
        <v>63937</v>
      </c>
      <c r="AA180" s="35">
        <v>0</v>
      </c>
      <c r="AB180" s="35">
        <v>0</v>
      </c>
      <c r="AC180" s="35">
        <v>16256</v>
      </c>
      <c r="AD180" s="39">
        <v>0</v>
      </c>
      <c r="AE180" s="39">
        <f>SUM(AF180:BA180)</f>
        <v>217841</v>
      </c>
      <c r="AF180" s="39">
        <v>0</v>
      </c>
      <c r="AG180" s="39">
        <v>0</v>
      </c>
      <c r="AH180" s="39">
        <v>1500</v>
      </c>
      <c r="AI180" s="35">
        <v>75077</v>
      </c>
      <c r="AJ180" s="35">
        <v>0</v>
      </c>
      <c r="AK180" s="35">
        <v>2858</v>
      </c>
      <c r="AL180" s="35">
        <v>0</v>
      </c>
      <c r="AM180" s="35">
        <v>13152</v>
      </c>
      <c r="AN180" s="35">
        <v>0</v>
      </c>
      <c r="AO180" s="35">
        <v>0</v>
      </c>
      <c r="AP180" s="35">
        <v>0</v>
      </c>
      <c r="AQ180" s="35"/>
      <c r="AR180" s="35">
        <v>0</v>
      </c>
      <c r="AS180" s="35">
        <f>70656-8294</f>
        <v>62362</v>
      </c>
      <c r="AT180" s="35">
        <f>42879+6232</f>
        <v>49111</v>
      </c>
      <c r="AU180" s="35">
        <v>0</v>
      </c>
      <c r="AV180" s="35">
        <v>0</v>
      </c>
      <c r="AW180" s="35">
        <v>6304</v>
      </c>
      <c r="AX180" s="35">
        <v>0</v>
      </c>
      <c r="AY180" s="35">
        <v>0</v>
      </c>
      <c r="AZ180" s="35">
        <v>0</v>
      </c>
      <c r="BA180" s="35">
        <v>7477</v>
      </c>
      <c r="BB180" s="39">
        <f>SUM(BC180+BG180+BJ180+BL180+BO180)</f>
        <v>0</v>
      </c>
      <c r="BC180" s="39">
        <f>SUM(BD180:BF180)</f>
        <v>0</v>
      </c>
      <c r="BD180" s="39">
        <v>0</v>
      </c>
      <c r="BE180" s="39">
        <v>0</v>
      </c>
      <c r="BF180" s="39">
        <v>0</v>
      </c>
      <c r="BG180" s="39">
        <f>SUM(BI180:BI180)</f>
        <v>0</v>
      </c>
      <c r="BH180" s="39">
        <v>0</v>
      </c>
      <c r="BI180" s="39">
        <v>0</v>
      </c>
      <c r="BJ180" s="39">
        <v>0</v>
      </c>
      <c r="BK180" s="39">
        <v>0</v>
      </c>
      <c r="BL180" s="39">
        <f t="shared" si="379"/>
        <v>0</v>
      </c>
      <c r="BM180" s="39">
        <v>0</v>
      </c>
      <c r="BN180" s="39">
        <v>0</v>
      </c>
      <c r="BO180" s="39">
        <f>SUM(BP180:BZ180)</f>
        <v>0</v>
      </c>
      <c r="BP180" s="39">
        <v>0</v>
      </c>
      <c r="BQ180" s="39">
        <v>0</v>
      </c>
      <c r="BR180" s="39">
        <v>0</v>
      </c>
      <c r="BS180" s="39">
        <v>0</v>
      </c>
      <c r="BT180" s="39">
        <v>0</v>
      </c>
      <c r="BU180" s="39">
        <v>0</v>
      </c>
      <c r="BV180" s="39">
        <v>0</v>
      </c>
      <c r="BW180" s="39">
        <v>0</v>
      </c>
      <c r="BX180" s="39">
        <v>0</v>
      </c>
      <c r="BY180" s="39">
        <v>0</v>
      </c>
      <c r="BZ180" s="39">
        <v>0</v>
      </c>
      <c r="CA180" s="39">
        <f>SUM(CB180+CT180)</f>
        <v>711770</v>
      </c>
      <c r="CB180" s="39">
        <f>SUM(CC180+CF180+CL180)</f>
        <v>711770</v>
      </c>
      <c r="CC180" s="39">
        <f t="shared" si="380"/>
        <v>711770</v>
      </c>
      <c r="CD180" s="39">
        <v>0</v>
      </c>
      <c r="CE180" s="35">
        <v>711770</v>
      </c>
      <c r="CF180" s="39">
        <f t="shared" si="586"/>
        <v>0</v>
      </c>
      <c r="CG180" s="39">
        <v>0</v>
      </c>
      <c r="CH180" s="39">
        <v>0</v>
      </c>
      <c r="CI180" s="39">
        <v>0</v>
      </c>
      <c r="CJ180" s="39">
        <v>0</v>
      </c>
      <c r="CK180" s="39">
        <v>0</v>
      </c>
      <c r="CL180" s="39">
        <f>SUM(CM180:CQ180)</f>
        <v>0</v>
      </c>
      <c r="CM180" s="39">
        <v>0</v>
      </c>
      <c r="CN180" s="39">
        <v>0</v>
      </c>
      <c r="CO180" s="39">
        <v>0</v>
      </c>
      <c r="CP180" s="39"/>
      <c r="CQ180" s="39"/>
      <c r="CR180" s="39"/>
      <c r="CS180" s="39"/>
      <c r="CT180" s="39">
        <v>0</v>
      </c>
      <c r="CU180" s="39"/>
      <c r="CV180" s="39"/>
      <c r="CW180" s="39"/>
      <c r="CX180" s="39">
        <f t="shared" si="382"/>
        <v>0</v>
      </c>
      <c r="CY180" s="39">
        <f t="shared" si="383"/>
        <v>0</v>
      </c>
      <c r="CZ180" s="39">
        <v>0</v>
      </c>
      <c r="DA180" s="41">
        <v>0</v>
      </c>
    </row>
    <row r="181" spans="1:106" ht="31.5" x14ac:dyDescent="0.25">
      <c r="A181" s="72" t="s">
        <v>1</v>
      </c>
      <c r="B181" s="21" t="s">
        <v>82</v>
      </c>
      <c r="C181" s="22" t="s">
        <v>282</v>
      </c>
      <c r="D181" s="18">
        <f>SUM(E181+CA181+CX181)</f>
        <v>1021358</v>
      </c>
      <c r="E181" s="19">
        <f>SUM(F181+BB181)</f>
        <v>1021358</v>
      </c>
      <c r="F181" s="19">
        <f t="shared" si="584"/>
        <v>1021358</v>
      </c>
      <c r="G181" s="23">
        <f>639307+146508</f>
        <v>785815</v>
      </c>
      <c r="H181" s="23">
        <f>137451+31499</f>
        <v>168950</v>
      </c>
      <c r="I181" s="19">
        <f t="shared" si="376"/>
        <v>55935</v>
      </c>
      <c r="J181" s="23">
        <v>0</v>
      </c>
      <c r="K181" s="23">
        <v>0</v>
      </c>
      <c r="L181" s="23">
        <v>0</v>
      </c>
      <c r="M181" s="23">
        <v>0</v>
      </c>
      <c r="N181" s="23">
        <f>48930+1218</f>
        <v>50148</v>
      </c>
      <c r="O181" s="23">
        <v>5787</v>
      </c>
      <c r="P181" s="19">
        <f t="shared" si="377"/>
        <v>0</v>
      </c>
      <c r="Q181" s="19">
        <v>0</v>
      </c>
      <c r="R181" s="19">
        <v>0</v>
      </c>
      <c r="S181" s="19">
        <v>0</v>
      </c>
      <c r="T181" s="23">
        <v>6668</v>
      </c>
      <c r="U181" s="19">
        <f t="shared" si="585"/>
        <v>2937</v>
      </c>
      <c r="V181" s="23">
        <v>0</v>
      </c>
      <c r="W181" s="23">
        <f>1704+26</f>
        <v>1730</v>
      </c>
      <c r="X181" s="23">
        <f>783+141</f>
        <v>924</v>
      </c>
      <c r="Y181" s="23">
        <v>283</v>
      </c>
      <c r="Z181" s="23">
        <v>0</v>
      </c>
      <c r="AA181" s="23">
        <v>0</v>
      </c>
      <c r="AB181" s="23">
        <v>0</v>
      </c>
      <c r="AC181" s="23">
        <v>0</v>
      </c>
      <c r="AD181" s="19">
        <v>0</v>
      </c>
      <c r="AE181" s="19">
        <f>SUM(AF181:BA181)</f>
        <v>1053</v>
      </c>
      <c r="AF181" s="19">
        <v>0</v>
      </c>
      <c r="AG181" s="19">
        <v>0</v>
      </c>
      <c r="AH181" s="19">
        <v>0</v>
      </c>
      <c r="AI181" s="23">
        <v>0</v>
      </c>
      <c r="AJ181" s="23">
        <v>0</v>
      </c>
      <c r="AK181" s="23">
        <v>0</v>
      </c>
      <c r="AL181" s="23">
        <v>0</v>
      </c>
      <c r="AM181" s="23">
        <v>0</v>
      </c>
      <c r="AN181" s="23">
        <v>0</v>
      </c>
      <c r="AO181" s="23">
        <v>0</v>
      </c>
      <c r="AP181" s="23">
        <f>0+1053</f>
        <v>1053</v>
      </c>
      <c r="AQ181" s="23"/>
      <c r="AR181" s="23">
        <v>0</v>
      </c>
      <c r="AS181" s="23">
        <v>0</v>
      </c>
      <c r="AT181" s="23">
        <v>0</v>
      </c>
      <c r="AU181" s="23">
        <v>0</v>
      </c>
      <c r="AV181" s="23">
        <v>0</v>
      </c>
      <c r="AW181" s="23">
        <v>0</v>
      </c>
      <c r="AX181" s="23">
        <v>0</v>
      </c>
      <c r="AY181" s="23">
        <v>0</v>
      </c>
      <c r="AZ181" s="23">
        <v>0</v>
      </c>
      <c r="BA181" s="23">
        <f>2271-2271</f>
        <v>0</v>
      </c>
      <c r="BB181" s="19">
        <f>SUM(BC181+BG181+BJ181+BL181+BO181)</f>
        <v>0</v>
      </c>
      <c r="BC181" s="19">
        <f>SUM(BD181:BF181)</f>
        <v>0</v>
      </c>
      <c r="BD181" s="19">
        <v>0</v>
      </c>
      <c r="BE181" s="19">
        <v>0</v>
      </c>
      <c r="BF181" s="19">
        <v>0</v>
      </c>
      <c r="BG181" s="19">
        <f>SUM(BI181:BI181)</f>
        <v>0</v>
      </c>
      <c r="BH181" s="19">
        <v>0</v>
      </c>
      <c r="BI181" s="19">
        <v>0</v>
      </c>
      <c r="BJ181" s="19">
        <v>0</v>
      </c>
      <c r="BK181" s="19">
        <v>0</v>
      </c>
      <c r="BL181" s="19">
        <f t="shared" si="379"/>
        <v>0</v>
      </c>
      <c r="BM181" s="19">
        <v>0</v>
      </c>
      <c r="BN181" s="19">
        <v>0</v>
      </c>
      <c r="BO181" s="19">
        <f>SUM(BP181:BZ181)</f>
        <v>0</v>
      </c>
      <c r="BP181" s="19">
        <v>0</v>
      </c>
      <c r="BQ181" s="19">
        <v>0</v>
      </c>
      <c r="BR181" s="19">
        <v>0</v>
      </c>
      <c r="BS181" s="19">
        <v>0</v>
      </c>
      <c r="BT181" s="19">
        <v>0</v>
      </c>
      <c r="BU181" s="19">
        <v>0</v>
      </c>
      <c r="BV181" s="19">
        <v>0</v>
      </c>
      <c r="BW181" s="19">
        <v>0</v>
      </c>
      <c r="BX181" s="19">
        <v>0</v>
      </c>
      <c r="BY181" s="19">
        <v>0</v>
      </c>
      <c r="BZ181" s="19">
        <v>0</v>
      </c>
      <c r="CA181" s="19">
        <f>SUM(CB181+CT181)</f>
        <v>0</v>
      </c>
      <c r="CB181" s="19">
        <f>SUM(CC181+CF181+CL181)</f>
        <v>0</v>
      </c>
      <c r="CC181" s="19">
        <f t="shared" si="380"/>
        <v>0</v>
      </c>
      <c r="CD181" s="19">
        <v>0</v>
      </c>
      <c r="CE181" s="23"/>
      <c r="CF181" s="19">
        <f t="shared" si="586"/>
        <v>0</v>
      </c>
      <c r="CG181" s="19">
        <v>0</v>
      </c>
      <c r="CH181" s="19">
        <v>0</v>
      </c>
      <c r="CI181" s="19">
        <v>0</v>
      </c>
      <c r="CJ181" s="19">
        <v>0</v>
      </c>
      <c r="CK181" s="19">
        <v>0</v>
      </c>
      <c r="CL181" s="19">
        <f>SUM(CM181:CQ181)</f>
        <v>0</v>
      </c>
      <c r="CM181" s="19">
        <v>0</v>
      </c>
      <c r="CN181" s="19">
        <v>0</v>
      </c>
      <c r="CO181" s="19">
        <v>0</v>
      </c>
      <c r="CP181" s="19"/>
      <c r="CQ181" s="19"/>
      <c r="CR181" s="19"/>
      <c r="CS181" s="19"/>
      <c r="CT181" s="19">
        <v>0</v>
      </c>
      <c r="CU181" s="19"/>
      <c r="CV181" s="19"/>
      <c r="CW181" s="19"/>
      <c r="CX181" s="19">
        <f t="shared" si="382"/>
        <v>0</v>
      </c>
      <c r="CY181" s="19">
        <f t="shared" si="383"/>
        <v>0</v>
      </c>
      <c r="CZ181" s="19">
        <v>0</v>
      </c>
      <c r="DA181" s="20">
        <v>0</v>
      </c>
    </row>
    <row r="182" spans="1:106" s="86" customFormat="1" ht="15.75" x14ac:dyDescent="0.25">
      <c r="A182" s="71" t="s">
        <v>283</v>
      </c>
      <c r="B182" s="16" t="s">
        <v>1</v>
      </c>
      <c r="C182" s="17" t="s">
        <v>15</v>
      </c>
      <c r="D182" s="18">
        <f>SUM(D183)</f>
        <v>225407284</v>
      </c>
      <c r="E182" s="18">
        <f t="shared" ref="E182:BU182" si="587">SUM(E183)</f>
        <v>225407284</v>
      </c>
      <c r="F182" s="18">
        <f t="shared" si="587"/>
        <v>0</v>
      </c>
      <c r="G182" s="18">
        <f t="shared" si="587"/>
        <v>0</v>
      </c>
      <c r="H182" s="18">
        <f t="shared" si="587"/>
        <v>0</v>
      </c>
      <c r="I182" s="18">
        <f t="shared" si="587"/>
        <v>0</v>
      </c>
      <c r="J182" s="18">
        <f t="shared" si="587"/>
        <v>0</v>
      </c>
      <c r="K182" s="18">
        <f t="shared" si="587"/>
        <v>0</v>
      </c>
      <c r="L182" s="18">
        <f t="shared" si="587"/>
        <v>0</v>
      </c>
      <c r="M182" s="18">
        <f t="shared" si="587"/>
        <v>0</v>
      </c>
      <c r="N182" s="18">
        <f t="shared" si="587"/>
        <v>0</v>
      </c>
      <c r="O182" s="18">
        <f t="shared" si="587"/>
        <v>0</v>
      </c>
      <c r="P182" s="18">
        <f t="shared" si="587"/>
        <v>0</v>
      </c>
      <c r="Q182" s="18">
        <f t="shared" si="587"/>
        <v>0</v>
      </c>
      <c r="R182" s="18">
        <f t="shared" si="587"/>
        <v>0</v>
      </c>
      <c r="S182" s="18">
        <f t="shared" si="587"/>
        <v>0</v>
      </c>
      <c r="T182" s="18">
        <f t="shared" si="587"/>
        <v>0</v>
      </c>
      <c r="U182" s="18">
        <f t="shared" si="587"/>
        <v>0</v>
      </c>
      <c r="V182" s="18">
        <f t="shared" si="587"/>
        <v>0</v>
      </c>
      <c r="W182" s="18">
        <f t="shared" si="587"/>
        <v>0</v>
      </c>
      <c r="X182" s="18">
        <f t="shared" si="587"/>
        <v>0</v>
      </c>
      <c r="Y182" s="18">
        <f t="shared" si="587"/>
        <v>0</v>
      </c>
      <c r="Z182" s="18">
        <f t="shared" si="587"/>
        <v>0</v>
      </c>
      <c r="AA182" s="18">
        <f t="shared" si="587"/>
        <v>0</v>
      </c>
      <c r="AB182" s="18">
        <f t="shared" si="587"/>
        <v>0</v>
      </c>
      <c r="AC182" s="18">
        <f t="shared" si="587"/>
        <v>0</v>
      </c>
      <c r="AD182" s="18">
        <f t="shared" si="587"/>
        <v>0</v>
      </c>
      <c r="AE182" s="18">
        <f t="shared" si="587"/>
        <v>0</v>
      </c>
      <c r="AF182" s="18">
        <f t="shared" si="587"/>
        <v>0</v>
      </c>
      <c r="AG182" s="18">
        <f t="shared" si="587"/>
        <v>0</v>
      </c>
      <c r="AH182" s="18">
        <f t="shared" si="587"/>
        <v>0</v>
      </c>
      <c r="AI182" s="18">
        <f t="shared" si="587"/>
        <v>0</v>
      </c>
      <c r="AJ182" s="18">
        <f t="shared" si="587"/>
        <v>0</v>
      </c>
      <c r="AK182" s="18">
        <f t="shared" si="587"/>
        <v>0</v>
      </c>
      <c r="AL182" s="18">
        <f t="shared" si="587"/>
        <v>0</v>
      </c>
      <c r="AM182" s="18">
        <f t="shared" si="587"/>
        <v>0</v>
      </c>
      <c r="AN182" s="18">
        <f t="shared" si="587"/>
        <v>0</v>
      </c>
      <c r="AO182" s="18">
        <f t="shared" si="587"/>
        <v>0</v>
      </c>
      <c r="AP182" s="18">
        <f t="shared" si="587"/>
        <v>0</v>
      </c>
      <c r="AQ182" s="18"/>
      <c r="AR182" s="18">
        <f t="shared" si="587"/>
        <v>0</v>
      </c>
      <c r="AS182" s="18">
        <f t="shared" si="587"/>
        <v>0</v>
      </c>
      <c r="AT182" s="18">
        <f t="shared" si="587"/>
        <v>0</v>
      </c>
      <c r="AU182" s="18"/>
      <c r="AV182" s="18"/>
      <c r="AW182" s="18">
        <f t="shared" si="587"/>
        <v>0</v>
      </c>
      <c r="AX182" s="18">
        <f t="shared" si="587"/>
        <v>0</v>
      </c>
      <c r="AY182" s="18">
        <f t="shared" si="587"/>
        <v>0</v>
      </c>
      <c r="AZ182" s="18"/>
      <c r="BA182" s="18">
        <f t="shared" si="587"/>
        <v>0</v>
      </c>
      <c r="BB182" s="18">
        <f t="shared" si="587"/>
        <v>225407284</v>
      </c>
      <c r="BC182" s="18">
        <f t="shared" si="587"/>
        <v>0</v>
      </c>
      <c r="BD182" s="18">
        <f t="shared" si="587"/>
        <v>0</v>
      </c>
      <c r="BE182" s="18">
        <f t="shared" si="587"/>
        <v>0</v>
      </c>
      <c r="BF182" s="18">
        <f t="shared" si="587"/>
        <v>0</v>
      </c>
      <c r="BG182" s="18">
        <f t="shared" si="587"/>
        <v>0</v>
      </c>
      <c r="BH182" s="18">
        <f t="shared" si="587"/>
        <v>0</v>
      </c>
      <c r="BI182" s="18">
        <f t="shared" si="587"/>
        <v>0</v>
      </c>
      <c r="BJ182" s="18">
        <f t="shared" si="587"/>
        <v>0</v>
      </c>
      <c r="BK182" s="18">
        <f t="shared" si="587"/>
        <v>0</v>
      </c>
      <c r="BL182" s="18">
        <f t="shared" si="587"/>
        <v>0</v>
      </c>
      <c r="BM182" s="18">
        <f t="shared" si="587"/>
        <v>0</v>
      </c>
      <c r="BN182" s="18">
        <f t="shared" si="587"/>
        <v>0</v>
      </c>
      <c r="BO182" s="18">
        <f t="shared" si="587"/>
        <v>225407284</v>
      </c>
      <c r="BP182" s="18">
        <f t="shared" si="587"/>
        <v>0</v>
      </c>
      <c r="BQ182" s="18">
        <f t="shared" si="587"/>
        <v>0</v>
      </c>
      <c r="BR182" s="18">
        <f t="shared" si="587"/>
        <v>0</v>
      </c>
      <c r="BS182" s="18">
        <f t="shared" si="587"/>
        <v>0</v>
      </c>
      <c r="BT182" s="18">
        <f t="shared" si="587"/>
        <v>0</v>
      </c>
      <c r="BU182" s="18">
        <f t="shared" si="587"/>
        <v>0</v>
      </c>
      <c r="BV182" s="18">
        <f t="shared" ref="BV182:DA182" si="588">SUM(BV183)</f>
        <v>177892396</v>
      </c>
      <c r="BW182" s="18">
        <f t="shared" si="588"/>
        <v>0</v>
      </c>
      <c r="BX182" s="18">
        <f t="shared" si="588"/>
        <v>0</v>
      </c>
      <c r="BY182" s="18">
        <f t="shared" si="588"/>
        <v>47514888</v>
      </c>
      <c r="BZ182" s="18">
        <f t="shared" si="588"/>
        <v>0</v>
      </c>
      <c r="CA182" s="18">
        <f t="shared" si="588"/>
        <v>0</v>
      </c>
      <c r="CB182" s="18">
        <f t="shared" si="588"/>
        <v>0</v>
      </c>
      <c r="CC182" s="18">
        <f t="shared" si="588"/>
        <v>0</v>
      </c>
      <c r="CD182" s="18">
        <f t="shared" si="588"/>
        <v>0</v>
      </c>
      <c r="CE182" s="18">
        <f t="shared" si="588"/>
        <v>0</v>
      </c>
      <c r="CF182" s="18">
        <f t="shared" si="588"/>
        <v>0</v>
      </c>
      <c r="CG182" s="18">
        <f t="shared" si="588"/>
        <v>0</v>
      </c>
      <c r="CH182" s="18">
        <f t="shared" si="588"/>
        <v>0</v>
      </c>
      <c r="CI182" s="18">
        <f t="shared" si="588"/>
        <v>0</v>
      </c>
      <c r="CJ182" s="18">
        <f t="shared" si="588"/>
        <v>0</v>
      </c>
      <c r="CK182" s="18">
        <f t="shared" si="588"/>
        <v>0</v>
      </c>
      <c r="CL182" s="18">
        <f t="shared" si="588"/>
        <v>0</v>
      </c>
      <c r="CM182" s="18">
        <f t="shared" si="588"/>
        <v>0</v>
      </c>
      <c r="CN182" s="18">
        <f t="shared" si="588"/>
        <v>0</v>
      </c>
      <c r="CO182" s="18">
        <f t="shared" si="588"/>
        <v>0</v>
      </c>
      <c r="CP182" s="18"/>
      <c r="CQ182" s="18"/>
      <c r="CR182" s="18"/>
      <c r="CS182" s="18"/>
      <c r="CT182" s="18">
        <f t="shared" si="588"/>
        <v>0</v>
      </c>
      <c r="CU182" s="18"/>
      <c r="CV182" s="18"/>
      <c r="CW182" s="18"/>
      <c r="CX182" s="18">
        <f t="shared" si="588"/>
        <v>0</v>
      </c>
      <c r="CY182" s="18">
        <f t="shared" si="588"/>
        <v>0</v>
      </c>
      <c r="CZ182" s="18">
        <f t="shared" si="588"/>
        <v>0</v>
      </c>
      <c r="DA182" s="46">
        <f t="shared" si="588"/>
        <v>0</v>
      </c>
      <c r="DB182" s="85"/>
    </row>
    <row r="183" spans="1:106" ht="15.75" x14ac:dyDescent="0.25">
      <c r="A183" s="72" t="s">
        <v>1</v>
      </c>
      <c r="B183" s="21" t="s">
        <v>82</v>
      </c>
      <c r="C183" s="22" t="s">
        <v>284</v>
      </c>
      <c r="D183" s="18">
        <f>SUM(E183+CA183+CX183)</f>
        <v>225407284</v>
      </c>
      <c r="E183" s="19">
        <f>SUM(F183+BB183)</f>
        <v>225407284</v>
      </c>
      <c r="F183" s="19">
        <f>SUM(G183+H183+I183+P183+S183+T183+U183+AE183)</f>
        <v>0</v>
      </c>
      <c r="G183" s="19">
        <v>0</v>
      </c>
      <c r="H183" s="19">
        <v>0</v>
      </c>
      <c r="I183" s="19">
        <f t="shared" si="376"/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f t="shared" si="377"/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f t="shared" ref="U183" si="589">SUM(V183:AC183)</f>
        <v>0</v>
      </c>
      <c r="V183" s="19">
        <v>0</v>
      </c>
      <c r="W183" s="19">
        <v>0</v>
      </c>
      <c r="X183" s="19">
        <v>0</v>
      </c>
      <c r="Y183" s="19">
        <v>0</v>
      </c>
      <c r="Z183" s="19">
        <v>0</v>
      </c>
      <c r="AA183" s="19">
        <v>0</v>
      </c>
      <c r="AB183" s="19">
        <v>0</v>
      </c>
      <c r="AC183" s="19">
        <v>0</v>
      </c>
      <c r="AD183" s="19">
        <v>0</v>
      </c>
      <c r="AE183" s="19">
        <f>SUM(AF183:BA183)</f>
        <v>0</v>
      </c>
      <c r="AF183" s="19">
        <v>0</v>
      </c>
      <c r="AG183" s="19">
        <v>0</v>
      </c>
      <c r="AH183" s="19">
        <v>0</v>
      </c>
      <c r="AI183" s="19">
        <v>0</v>
      </c>
      <c r="AJ183" s="19">
        <v>0</v>
      </c>
      <c r="AK183" s="19">
        <v>0</v>
      </c>
      <c r="AL183" s="19">
        <v>0</v>
      </c>
      <c r="AM183" s="19">
        <v>0</v>
      </c>
      <c r="AN183" s="19">
        <v>0</v>
      </c>
      <c r="AO183" s="19">
        <v>0</v>
      </c>
      <c r="AP183" s="19">
        <v>0</v>
      </c>
      <c r="AQ183" s="19"/>
      <c r="AR183" s="19">
        <v>0</v>
      </c>
      <c r="AS183" s="19">
        <v>0</v>
      </c>
      <c r="AT183" s="19">
        <v>0</v>
      </c>
      <c r="AU183" s="19"/>
      <c r="AV183" s="19"/>
      <c r="AW183" s="19">
        <v>0</v>
      </c>
      <c r="AX183" s="19">
        <v>0</v>
      </c>
      <c r="AY183" s="19">
        <v>0</v>
      </c>
      <c r="AZ183" s="19"/>
      <c r="BA183" s="19">
        <v>0</v>
      </c>
      <c r="BB183" s="19">
        <f>SUM(BC183+BG183+BJ183+BL183+BO183)</f>
        <v>225407284</v>
      </c>
      <c r="BC183" s="19">
        <f>SUM(BD183:BF183)</f>
        <v>0</v>
      </c>
      <c r="BD183" s="19">
        <v>0</v>
      </c>
      <c r="BE183" s="19">
        <v>0</v>
      </c>
      <c r="BF183" s="19">
        <v>0</v>
      </c>
      <c r="BG183" s="19">
        <f>SUM(BI183:BI183)</f>
        <v>0</v>
      </c>
      <c r="BH183" s="19">
        <v>0</v>
      </c>
      <c r="BI183" s="19">
        <v>0</v>
      </c>
      <c r="BJ183" s="19">
        <v>0</v>
      </c>
      <c r="BK183" s="19">
        <v>0</v>
      </c>
      <c r="BL183" s="19">
        <f t="shared" si="379"/>
        <v>0</v>
      </c>
      <c r="BM183" s="19">
        <v>0</v>
      </c>
      <c r="BN183" s="19">
        <v>0</v>
      </c>
      <c r="BO183" s="19">
        <f>SUM(BP183:BZ183)</f>
        <v>225407284</v>
      </c>
      <c r="BP183" s="19">
        <v>0</v>
      </c>
      <c r="BQ183" s="19">
        <v>0</v>
      </c>
      <c r="BR183" s="19">
        <v>0</v>
      </c>
      <c r="BS183" s="19">
        <v>0</v>
      </c>
      <c r="BT183" s="19">
        <v>0</v>
      </c>
      <c r="BU183" s="19">
        <v>0</v>
      </c>
      <c r="BV183" s="23">
        <f>165631665+12260731</f>
        <v>177892396</v>
      </c>
      <c r="BW183" s="19">
        <v>0</v>
      </c>
      <c r="BX183" s="19">
        <v>0</v>
      </c>
      <c r="BY183" s="23">
        <f>45960743-45855+1600000</f>
        <v>47514888</v>
      </c>
      <c r="BZ183" s="19">
        <v>0</v>
      </c>
      <c r="CA183" s="19">
        <f>SUM(CB183+CT183)</f>
        <v>0</v>
      </c>
      <c r="CB183" s="19">
        <f>SUM(CC183+CF183+CL183)</f>
        <v>0</v>
      </c>
      <c r="CC183" s="19">
        <f t="shared" si="380"/>
        <v>0</v>
      </c>
      <c r="CD183" s="19">
        <v>0</v>
      </c>
      <c r="CE183" s="19">
        <v>0</v>
      </c>
      <c r="CF183" s="19">
        <f>SUM(CG183:CK183)</f>
        <v>0</v>
      </c>
      <c r="CG183" s="19">
        <v>0</v>
      </c>
      <c r="CH183" s="19">
        <v>0</v>
      </c>
      <c r="CI183" s="19">
        <v>0</v>
      </c>
      <c r="CJ183" s="19">
        <v>0</v>
      </c>
      <c r="CK183" s="19">
        <v>0</v>
      </c>
      <c r="CL183" s="19">
        <f>SUM(CM183:CQ183)</f>
        <v>0</v>
      </c>
      <c r="CM183" s="19">
        <v>0</v>
      </c>
      <c r="CN183" s="19">
        <v>0</v>
      </c>
      <c r="CO183" s="19">
        <v>0</v>
      </c>
      <c r="CP183" s="19"/>
      <c r="CQ183" s="19"/>
      <c r="CR183" s="19"/>
      <c r="CS183" s="19"/>
      <c r="CT183" s="19">
        <v>0</v>
      </c>
      <c r="CU183" s="19"/>
      <c r="CV183" s="19"/>
      <c r="CW183" s="19"/>
      <c r="CX183" s="19">
        <f t="shared" si="382"/>
        <v>0</v>
      </c>
      <c r="CY183" s="19">
        <f t="shared" si="383"/>
        <v>0</v>
      </c>
      <c r="CZ183" s="19">
        <v>0</v>
      </c>
      <c r="DA183" s="20">
        <v>0</v>
      </c>
    </row>
    <row r="184" spans="1:106" s="86" customFormat="1" ht="15.75" x14ac:dyDescent="0.25">
      <c r="A184" s="71" t="s">
        <v>285</v>
      </c>
      <c r="B184" s="16" t="s">
        <v>1</v>
      </c>
      <c r="C184" s="17" t="s">
        <v>286</v>
      </c>
      <c r="D184" s="18">
        <f t="shared" ref="D184:AK184" si="590">SUM(D185)</f>
        <v>20658543</v>
      </c>
      <c r="E184" s="18">
        <f t="shared" si="590"/>
        <v>20658543</v>
      </c>
      <c r="F184" s="18">
        <f t="shared" si="590"/>
        <v>0</v>
      </c>
      <c r="G184" s="18">
        <f t="shared" si="590"/>
        <v>0</v>
      </c>
      <c r="H184" s="18">
        <f t="shared" si="590"/>
        <v>0</v>
      </c>
      <c r="I184" s="18">
        <f t="shared" si="590"/>
        <v>0</v>
      </c>
      <c r="J184" s="18">
        <f t="shared" si="590"/>
        <v>0</v>
      </c>
      <c r="K184" s="18">
        <f t="shared" si="590"/>
        <v>0</v>
      </c>
      <c r="L184" s="18">
        <f t="shared" si="590"/>
        <v>0</v>
      </c>
      <c r="M184" s="18">
        <f t="shared" si="590"/>
        <v>0</v>
      </c>
      <c r="N184" s="18">
        <f t="shared" si="590"/>
        <v>0</v>
      </c>
      <c r="O184" s="18">
        <f t="shared" si="590"/>
        <v>0</v>
      </c>
      <c r="P184" s="18">
        <f t="shared" si="590"/>
        <v>0</v>
      </c>
      <c r="Q184" s="18">
        <f t="shared" si="590"/>
        <v>0</v>
      </c>
      <c r="R184" s="18">
        <f t="shared" si="590"/>
        <v>0</v>
      </c>
      <c r="S184" s="18">
        <f t="shared" si="590"/>
        <v>0</v>
      </c>
      <c r="T184" s="18">
        <f t="shared" si="590"/>
        <v>0</v>
      </c>
      <c r="U184" s="18">
        <f t="shared" si="590"/>
        <v>0</v>
      </c>
      <c r="V184" s="18">
        <f t="shared" si="590"/>
        <v>0</v>
      </c>
      <c r="W184" s="18">
        <f t="shared" si="590"/>
        <v>0</v>
      </c>
      <c r="X184" s="18">
        <f t="shared" si="590"/>
        <v>0</v>
      </c>
      <c r="Y184" s="18">
        <f t="shared" si="590"/>
        <v>0</v>
      </c>
      <c r="Z184" s="18">
        <f t="shared" si="590"/>
        <v>0</v>
      </c>
      <c r="AA184" s="18">
        <f t="shared" si="590"/>
        <v>0</v>
      </c>
      <c r="AB184" s="18">
        <f t="shared" si="590"/>
        <v>0</v>
      </c>
      <c r="AC184" s="18">
        <f t="shared" si="590"/>
        <v>0</v>
      </c>
      <c r="AD184" s="18">
        <f t="shared" si="590"/>
        <v>0</v>
      </c>
      <c r="AE184" s="18">
        <f t="shared" si="590"/>
        <v>0</v>
      </c>
      <c r="AF184" s="18">
        <f t="shared" si="590"/>
        <v>0</v>
      </c>
      <c r="AG184" s="18">
        <f t="shared" si="590"/>
        <v>0</v>
      </c>
      <c r="AH184" s="18">
        <f t="shared" si="590"/>
        <v>0</v>
      </c>
      <c r="AI184" s="18">
        <f t="shared" si="590"/>
        <v>0</v>
      </c>
      <c r="AJ184" s="18">
        <f t="shared" si="590"/>
        <v>0</v>
      </c>
      <c r="AK184" s="18">
        <f t="shared" si="590"/>
        <v>0</v>
      </c>
      <c r="AL184" s="18">
        <f t="shared" ref="AL184:DA184" si="591">SUM(AL185)</f>
        <v>0</v>
      </c>
      <c r="AM184" s="18">
        <f t="shared" si="591"/>
        <v>0</v>
      </c>
      <c r="AN184" s="18">
        <f t="shared" si="591"/>
        <v>0</v>
      </c>
      <c r="AO184" s="18">
        <f t="shared" si="591"/>
        <v>0</v>
      </c>
      <c r="AP184" s="18">
        <f t="shared" si="591"/>
        <v>0</v>
      </c>
      <c r="AQ184" s="18"/>
      <c r="AR184" s="18">
        <f t="shared" si="591"/>
        <v>0</v>
      </c>
      <c r="AS184" s="18">
        <f t="shared" si="591"/>
        <v>0</v>
      </c>
      <c r="AT184" s="18">
        <f t="shared" si="591"/>
        <v>0</v>
      </c>
      <c r="AU184" s="18"/>
      <c r="AV184" s="18"/>
      <c r="AW184" s="18">
        <f t="shared" si="591"/>
        <v>0</v>
      </c>
      <c r="AX184" s="18">
        <f t="shared" si="591"/>
        <v>0</v>
      </c>
      <c r="AY184" s="18">
        <f t="shared" si="591"/>
        <v>0</v>
      </c>
      <c r="AZ184" s="18"/>
      <c r="BA184" s="18">
        <f t="shared" si="591"/>
        <v>0</v>
      </c>
      <c r="BB184" s="18">
        <f t="shared" si="591"/>
        <v>20658543</v>
      </c>
      <c r="BC184" s="18">
        <f t="shared" si="591"/>
        <v>0</v>
      </c>
      <c r="BD184" s="18">
        <f t="shared" si="591"/>
        <v>0</v>
      </c>
      <c r="BE184" s="18">
        <f t="shared" si="591"/>
        <v>0</v>
      </c>
      <c r="BF184" s="18">
        <f t="shared" si="591"/>
        <v>0</v>
      </c>
      <c r="BG184" s="18">
        <f t="shared" si="591"/>
        <v>0</v>
      </c>
      <c r="BH184" s="18">
        <f t="shared" si="591"/>
        <v>0</v>
      </c>
      <c r="BI184" s="18">
        <f t="shared" si="591"/>
        <v>0</v>
      </c>
      <c r="BJ184" s="18">
        <f t="shared" si="591"/>
        <v>0</v>
      </c>
      <c r="BK184" s="18">
        <f t="shared" si="591"/>
        <v>0</v>
      </c>
      <c r="BL184" s="18">
        <f t="shared" si="591"/>
        <v>0</v>
      </c>
      <c r="BM184" s="18">
        <f t="shared" si="591"/>
        <v>0</v>
      </c>
      <c r="BN184" s="18">
        <f t="shared" si="591"/>
        <v>0</v>
      </c>
      <c r="BO184" s="18">
        <f t="shared" si="591"/>
        <v>20658543</v>
      </c>
      <c r="BP184" s="18">
        <f t="shared" si="591"/>
        <v>0</v>
      </c>
      <c r="BQ184" s="18">
        <f t="shared" si="591"/>
        <v>0</v>
      </c>
      <c r="BR184" s="18">
        <f t="shared" si="591"/>
        <v>0</v>
      </c>
      <c r="BS184" s="18">
        <f t="shared" si="591"/>
        <v>20658543</v>
      </c>
      <c r="BT184" s="18">
        <f t="shared" si="591"/>
        <v>0</v>
      </c>
      <c r="BU184" s="18">
        <f t="shared" si="591"/>
        <v>0</v>
      </c>
      <c r="BV184" s="18">
        <f t="shared" si="591"/>
        <v>0</v>
      </c>
      <c r="BW184" s="18">
        <f t="shared" si="591"/>
        <v>0</v>
      </c>
      <c r="BX184" s="18">
        <f t="shared" si="591"/>
        <v>0</v>
      </c>
      <c r="BY184" s="18">
        <f t="shared" si="591"/>
        <v>0</v>
      </c>
      <c r="BZ184" s="18">
        <f t="shared" si="591"/>
        <v>0</v>
      </c>
      <c r="CA184" s="18">
        <f t="shared" si="591"/>
        <v>0</v>
      </c>
      <c r="CB184" s="18">
        <f t="shared" si="591"/>
        <v>0</v>
      </c>
      <c r="CC184" s="18">
        <f t="shared" si="591"/>
        <v>0</v>
      </c>
      <c r="CD184" s="18">
        <f t="shared" si="591"/>
        <v>0</v>
      </c>
      <c r="CE184" s="18">
        <f t="shared" si="591"/>
        <v>0</v>
      </c>
      <c r="CF184" s="18">
        <f t="shared" si="591"/>
        <v>0</v>
      </c>
      <c r="CG184" s="18">
        <f t="shared" si="591"/>
        <v>0</v>
      </c>
      <c r="CH184" s="18">
        <f t="shared" si="591"/>
        <v>0</v>
      </c>
      <c r="CI184" s="18">
        <f t="shared" si="591"/>
        <v>0</v>
      </c>
      <c r="CJ184" s="18">
        <f t="shared" si="591"/>
        <v>0</v>
      </c>
      <c r="CK184" s="18">
        <f t="shared" si="591"/>
        <v>0</v>
      </c>
      <c r="CL184" s="18">
        <f t="shared" si="591"/>
        <v>0</v>
      </c>
      <c r="CM184" s="18">
        <f t="shared" si="591"/>
        <v>0</v>
      </c>
      <c r="CN184" s="18">
        <f t="shared" si="591"/>
        <v>0</v>
      </c>
      <c r="CO184" s="18">
        <f t="shared" si="591"/>
        <v>0</v>
      </c>
      <c r="CP184" s="18"/>
      <c r="CQ184" s="18"/>
      <c r="CR184" s="18"/>
      <c r="CS184" s="18"/>
      <c r="CT184" s="18">
        <f t="shared" si="591"/>
        <v>0</v>
      </c>
      <c r="CU184" s="18"/>
      <c r="CV184" s="18"/>
      <c r="CW184" s="18"/>
      <c r="CX184" s="18">
        <f t="shared" si="591"/>
        <v>0</v>
      </c>
      <c r="CY184" s="18">
        <f t="shared" si="591"/>
        <v>0</v>
      </c>
      <c r="CZ184" s="18">
        <f t="shared" si="591"/>
        <v>0</v>
      </c>
      <c r="DA184" s="46">
        <f t="shared" si="591"/>
        <v>0</v>
      </c>
      <c r="DB184" s="85"/>
    </row>
    <row r="185" spans="1:106" ht="15.75" x14ac:dyDescent="0.25">
      <c r="A185" s="72" t="s">
        <v>1</v>
      </c>
      <c r="B185" s="21" t="s">
        <v>103</v>
      </c>
      <c r="C185" s="22" t="s">
        <v>53</v>
      </c>
      <c r="D185" s="18">
        <f>SUM(E185+CA185+CX185)</f>
        <v>20658543</v>
      </c>
      <c r="E185" s="19">
        <f>SUM(F185+BB185)</f>
        <v>20658543</v>
      </c>
      <c r="F185" s="19">
        <f>SUM(G185+H185+I185+P185+S185+T185+U185+AE185)</f>
        <v>0</v>
      </c>
      <c r="G185" s="19">
        <v>0</v>
      </c>
      <c r="H185" s="19">
        <v>0</v>
      </c>
      <c r="I185" s="19">
        <f t="shared" si="376"/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f t="shared" si="377"/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f t="shared" ref="U185" si="592">SUM(V185:AC185)</f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0</v>
      </c>
      <c r="AA185" s="19">
        <v>0</v>
      </c>
      <c r="AB185" s="19">
        <v>0</v>
      </c>
      <c r="AC185" s="19">
        <v>0</v>
      </c>
      <c r="AD185" s="19">
        <v>0</v>
      </c>
      <c r="AE185" s="19">
        <f>SUM(AF185:BA185)</f>
        <v>0</v>
      </c>
      <c r="AF185" s="19">
        <v>0</v>
      </c>
      <c r="AG185" s="19">
        <v>0</v>
      </c>
      <c r="AH185" s="19">
        <v>0</v>
      </c>
      <c r="AI185" s="19">
        <v>0</v>
      </c>
      <c r="AJ185" s="19">
        <v>0</v>
      </c>
      <c r="AK185" s="19">
        <v>0</v>
      </c>
      <c r="AL185" s="19">
        <v>0</v>
      </c>
      <c r="AM185" s="19">
        <v>0</v>
      </c>
      <c r="AN185" s="19">
        <v>0</v>
      </c>
      <c r="AO185" s="19">
        <v>0</v>
      </c>
      <c r="AP185" s="19">
        <v>0</v>
      </c>
      <c r="AQ185" s="19"/>
      <c r="AR185" s="19">
        <v>0</v>
      </c>
      <c r="AS185" s="19">
        <v>0</v>
      </c>
      <c r="AT185" s="19">
        <v>0</v>
      </c>
      <c r="AU185" s="19"/>
      <c r="AV185" s="19"/>
      <c r="AW185" s="19">
        <v>0</v>
      </c>
      <c r="AX185" s="19">
        <v>0</v>
      </c>
      <c r="AY185" s="19">
        <v>0</v>
      </c>
      <c r="AZ185" s="19"/>
      <c r="BA185" s="19">
        <v>0</v>
      </c>
      <c r="BB185" s="19">
        <f>SUM(BC185+BG185+BJ185+BL185+BO185)</f>
        <v>20658543</v>
      </c>
      <c r="BC185" s="19">
        <f>SUM(BD185:BF185)</f>
        <v>0</v>
      </c>
      <c r="BD185" s="19">
        <v>0</v>
      </c>
      <c r="BE185" s="19">
        <v>0</v>
      </c>
      <c r="BF185" s="19">
        <v>0</v>
      </c>
      <c r="BG185" s="19">
        <f>SUM(BI185:BI185)</f>
        <v>0</v>
      </c>
      <c r="BH185" s="19">
        <v>0</v>
      </c>
      <c r="BI185" s="19">
        <v>0</v>
      </c>
      <c r="BJ185" s="19">
        <v>0</v>
      </c>
      <c r="BK185" s="19">
        <v>0</v>
      </c>
      <c r="BL185" s="19">
        <f t="shared" si="379"/>
        <v>0</v>
      </c>
      <c r="BM185" s="19">
        <v>0</v>
      </c>
      <c r="BN185" s="19">
        <v>0</v>
      </c>
      <c r="BO185" s="19">
        <f>SUM(BP185:BZ185)</f>
        <v>20658543</v>
      </c>
      <c r="BP185" s="19">
        <v>0</v>
      </c>
      <c r="BQ185" s="19">
        <v>0</v>
      </c>
      <c r="BR185" s="19">
        <v>0</v>
      </c>
      <c r="BS185" s="23">
        <f>25504374-4845831</f>
        <v>20658543</v>
      </c>
      <c r="BT185" s="19">
        <v>0</v>
      </c>
      <c r="BU185" s="19">
        <v>0</v>
      </c>
      <c r="BV185" s="19">
        <v>0</v>
      </c>
      <c r="BW185" s="19">
        <v>0</v>
      </c>
      <c r="BX185" s="19">
        <v>0</v>
      </c>
      <c r="BY185" s="19">
        <v>0</v>
      </c>
      <c r="BZ185" s="19">
        <v>0</v>
      </c>
      <c r="CA185" s="19">
        <f>SUM(CB185+CT185)</f>
        <v>0</v>
      </c>
      <c r="CB185" s="19">
        <f>SUM(CC185+CF185+CL185)</f>
        <v>0</v>
      </c>
      <c r="CC185" s="19">
        <f t="shared" si="380"/>
        <v>0</v>
      </c>
      <c r="CD185" s="19">
        <v>0</v>
      </c>
      <c r="CE185" s="19">
        <v>0</v>
      </c>
      <c r="CF185" s="19">
        <f>SUM(CG185:CK185)</f>
        <v>0</v>
      </c>
      <c r="CG185" s="19">
        <v>0</v>
      </c>
      <c r="CH185" s="19">
        <v>0</v>
      </c>
      <c r="CI185" s="19">
        <v>0</v>
      </c>
      <c r="CJ185" s="19">
        <v>0</v>
      </c>
      <c r="CK185" s="19">
        <v>0</v>
      </c>
      <c r="CL185" s="19">
        <f>SUM(CM185:CQ185)</f>
        <v>0</v>
      </c>
      <c r="CM185" s="19">
        <v>0</v>
      </c>
      <c r="CN185" s="19">
        <v>0</v>
      </c>
      <c r="CO185" s="19">
        <v>0</v>
      </c>
      <c r="CP185" s="19"/>
      <c r="CQ185" s="19"/>
      <c r="CR185" s="19"/>
      <c r="CS185" s="19"/>
      <c r="CT185" s="19">
        <v>0</v>
      </c>
      <c r="CU185" s="19"/>
      <c r="CV185" s="19"/>
      <c r="CW185" s="19"/>
      <c r="CX185" s="19">
        <f t="shared" si="382"/>
        <v>0</v>
      </c>
      <c r="CY185" s="19">
        <f t="shared" si="383"/>
        <v>0</v>
      </c>
      <c r="CZ185" s="19">
        <v>0</v>
      </c>
      <c r="DA185" s="20">
        <v>0</v>
      </c>
    </row>
    <row r="186" spans="1:106" s="86" customFormat="1" ht="31.5" x14ac:dyDescent="0.25">
      <c r="A186" s="71" t="s">
        <v>287</v>
      </c>
      <c r="B186" s="16" t="s">
        <v>1</v>
      </c>
      <c r="C186" s="17" t="s">
        <v>585</v>
      </c>
      <c r="D186" s="18">
        <f t="shared" ref="D186:AK186" si="593">SUM(D187)</f>
        <v>25000</v>
      </c>
      <c r="E186" s="18">
        <f t="shared" si="593"/>
        <v>25000</v>
      </c>
      <c r="F186" s="18">
        <f t="shared" si="593"/>
        <v>0</v>
      </c>
      <c r="G186" s="18">
        <f t="shared" si="593"/>
        <v>0</v>
      </c>
      <c r="H186" s="18">
        <f t="shared" si="593"/>
        <v>0</v>
      </c>
      <c r="I186" s="18">
        <f t="shared" si="593"/>
        <v>0</v>
      </c>
      <c r="J186" s="18">
        <f t="shared" si="593"/>
        <v>0</v>
      </c>
      <c r="K186" s="18">
        <f t="shared" si="593"/>
        <v>0</v>
      </c>
      <c r="L186" s="18">
        <f t="shared" si="593"/>
        <v>0</v>
      </c>
      <c r="M186" s="18">
        <f t="shared" si="593"/>
        <v>0</v>
      </c>
      <c r="N186" s="18">
        <f t="shared" si="593"/>
        <v>0</v>
      </c>
      <c r="O186" s="18">
        <f t="shared" si="593"/>
        <v>0</v>
      </c>
      <c r="P186" s="18">
        <f t="shared" si="593"/>
        <v>0</v>
      </c>
      <c r="Q186" s="18">
        <f t="shared" si="593"/>
        <v>0</v>
      </c>
      <c r="R186" s="18">
        <f t="shared" si="593"/>
        <v>0</v>
      </c>
      <c r="S186" s="18">
        <f t="shared" si="593"/>
        <v>0</v>
      </c>
      <c r="T186" s="18">
        <f t="shared" si="593"/>
        <v>0</v>
      </c>
      <c r="U186" s="18">
        <f t="shared" si="593"/>
        <v>0</v>
      </c>
      <c r="V186" s="18">
        <f t="shared" si="593"/>
        <v>0</v>
      </c>
      <c r="W186" s="18">
        <f t="shared" si="593"/>
        <v>0</v>
      </c>
      <c r="X186" s="18">
        <f t="shared" si="593"/>
        <v>0</v>
      </c>
      <c r="Y186" s="18">
        <f t="shared" si="593"/>
        <v>0</v>
      </c>
      <c r="Z186" s="18">
        <f t="shared" si="593"/>
        <v>0</v>
      </c>
      <c r="AA186" s="18">
        <f t="shared" si="593"/>
        <v>0</v>
      </c>
      <c r="AB186" s="18">
        <f t="shared" si="593"/>
        <v>0</v>
      </c>
      <c r="AC186" s="18">
        <f t="shared" si="593"/>
        <v>0</v>
      </c>
      <c r="AD186" s="18">
        <f t="shared" si="593"/>
        <v>0</v>
      </c>
      <c r="AE186" s="18">
        <f t="shared" si="593"/>
        <v>0</v>
      </c>
      <c r="AF186" s="18">
        <f t="shared" si="593"/>
        <v>0</v>
      </c>
      <c r="AG186" s="18">
        <f t="shared" si="593"/>
        <v>0</v>
      </c>
      <c r="AH186" s="18">
        <f t="shared" si="593"/>
        <v>0</v>
      </c>
      <c r="AI186" s="18">
        <f t="shared" si="593"/>
        <v>0</v>
      </c>
      <c r="AJ186" s="18">
        <f t="shared" si="593"/>
        <v>0</v>
      </c>
      <c r="AK186" s="18">
        <f t="shared" si="593"/>
        <v>0</v>
      </c>
      <c r="AL186" s="18">
        <f t="shared" ref="AL186:DA186" si="594">SUM(AL187)</f>
        <v>0</v>
      </c>
      <c r="AM186" s="18">
        <f t="shared" si="594"/>
        <v>0</v>
      </c>
      <c r="AN186" s="18">
        <f t="shared" si="594"/>
        <v>0</v>
      </c>
      <c r="AO186" s="18">
        <f t="shared" si="594"/>
        <v>0</v>
      </c>
      <c r="AP186" s="18">
        <f t="shared" si="594"/>
        <v>0</v>
      </c>
      <c r="AQ186" s="18"/>
      <c r="AR186" s="18">
        <f t="shared" si="594"/>
        <v>0</v>
      </c>
      <c r="AS186" s="18">
        <f t="shared" si="594"/>
        <v>0</v>
      </c>
      <c r="AT186" s="18">
        <f t="shared" si="594"/>
        <v>0</v>
      </c>
      <c r="AU186" s="18"/>
      <c r="AV186" s="18"/>
      <c r="AW186" s="18">
        <f t="shared" si="594"/>
        <v>0</v>
      </c>
      <c r="AX186" s="18">
        <f t="shared" si="594"/>
        <v>0</v>
      </c>
      <c r="AY186" s="18">
        <f t="shared" si="594"/>
        <v>0</v>
      </c>
      <c r="AZ186" s="18"/>
      <c r="BA186" s="18">
        <f t="shared" si="594"/>
        <v>0</v>
      </c>
      <c r="BB186" s="18">
        <f t="shared" si="594"/>
        <v>25000</v>
      </c>
      <c r="BC186" s="18">
        <f t="shared" si="594"/>
        <v>0</v>
      </c>
      <c r="BD186" s="18">
        <f t="shared" si="594"/>
        <v>0</v>
      </c>
      <c r="BE186" s="18">
        <f t="shared" si="594"/>
        <v>0</v>
      </c>
      <c r="BF186" s="18">
        <f t="shared" si="594"/>
        <v>0</v>
      </c>
      <c r="BG186" s="18">
        <f t="shared" si="594"/>
        <v>0</v>
      </c>
      <c r="BH186" s="18">
        <f t="shared" si="594"/>
        <v>0</v>
      </c>
      <c r="BI186" s="18">
        <f t="shared" si="594"/>
        <v>0</v>
      </c>
      <c r="BJ186" s="18">
        <f t="shared" si="594"/>
        <v>0</v>
      </c>
      <c r="BK186" s="18">
        <f t="shared" si="594"/>
        <v>0</v>
      </c>
      <c r="BL186" s="18">
        <f t="shared" si="594"/>
        <v>0</v>
      </c>
      <c r="BM186" s="18">
        <f t="shared" si="594"/>
        <v>0</v>
      </c>
      <c r="BN186" s="18">
        <f t="shared" si="594"/>
        <v>0</v>
      </c>
      <c r="BO186" s="18">
        <f t="shared" si="594"/>
        <v>25000</v>
      </c>
      <c r="BP186" s="18">
        <f t="shared" si="594"/>
        <v>0</v>
      </c>
      <c r="BQ186" s="18">
        <f t="shared" si="594"/>
        <v>0</v>
      </c>
      <c r="BR186" s="18">
        <f t="shared" si="594"/>
        <v>0</v>
      </c>
      <c r="BS186" s="18">
        <f t="shared" si="594"/>
        <v>0</v>
      </c>
      <c r="BT186" s="18">
        <f t="shared" si="594"/>
        <v>25000</v>
      </c>
      <c r="BU186" s="18">
        <f t="shared" si="594"/>
        <v>0</v>
      </c>
      <c r="BV186" s="18">
        <f t="shared" si="594"/>
        <v>0</v>
      </c>
      <c r="BW186" s="18">
        <f t="shared" si="594"/>
        <v>0</v>
      </c>
      <c r="BX186" s="18">
        <f t="shared" si="594"/>
        <v>0</v>
      </c>
      <c r="BY186" s="18">
        <f t="shared" si="594"/>
        <v>0</v>
      </c>
      <c r="BZ186" s="18">
        <f t="shared" si="594"/>
        <v>0</v>
      </c>
      <c r="CA186" s="18">
        <f t="shared" si="594"/>
        <v>0</v>
      </c>
      <c r="CB186" s="18">
        <f t="shared" si="594"/>
        <v>0</v>
      </c>
      <c r="CC186" s="18">
        <f t="shared" si="594"/>
        <v>0</v>
      </c>
      <c r="CD186" s="18">
        <f t="shared" si="594"/>
        <v>0</v>
      </c>
      <c r="CE186" s="18">
        <f t="shared" si="594"/>
        <v>0</v>
      </c>
      <c r="CF186" s="18">
        <f t="shared" si="594"/>
        <v>0</v>
      </c>
      <c r="CG186" s="18">
        <f t="shared" si="594"/>
        <v>0</v>
      </c>
      <c r="CH186" s="18">
        <f t="shared" si="594"/>
        <v>0</v>
      </c>
      <c r="CI186" s="18">
        <f t="shared" si="594"/>
        <v>0</v>
      </c>
      <c r="CJ186" s="18">
        <f t="shared" si="594"/>
        <v>0</v>
      </c>
      <c r="CK186" s="18">
        <f t="shared" si="594"/>
        <v>0</v>
      </c>
      <c r="CL186" s="18">
        <f t="shared" si="594"/>
        <v>0</v>
      </c>
      <c r="CM186" s="18">
        <f t="shared" si="594"/>
        <v>0</v>
      </c>
      <c r="CN186" s="18">
        <f t="shared" si="594"/>
        <v>0</v>
      </c>
      <c r="CO186" s="18">
        <f t="shared" si="594"/>
        <v>0</v>
      </c>
      <c r="CP186" s="18"/>
      <c r="CQ186" s="18"/>
      <c r="CR186" s="18"/>
      <c r="CS186" s="18"/>
      <c r="CT186" s="18">
        <f t="shared" si="594"/>
        <v>0</v>
      </c>
      <c r="CU186" s="18"/>
      <c r="CV186" s="18"/>
      <c r="CW186" s="18"/>
      <c r="CX186" s="18">
        <f t="shared" si="594"/>
        <v>0</v>
      </c>
      <c r="CY186" s="18">
        <f t="shared" si="594"/>
        <v>0</v>
      </c>
      <c r="CZ186" s="18">
        <f t="shared" si="594"/>
        <v>0</v>
      </c>
      <c r="DA186" s="46">
        <f t="shared" si="594"/>
        <v>0</v>
      </c>
      <c r="DB186" s="85"/>
    </row>
    <row r="187" spans="1:106" ht="15.75" x14ac:dyDescent="0.25">
      <c r="A187" s="72" t="s">
        <v>1</v>
      </c>
      <c r="B187" s="21" t="s">
        <v>103</v>
      </c>
      <c r="C187" s="22" t="s">
        <v>288</v>
      </c>
      <c r="D187" s="18">
        <f>SUM(E187+CA187+CX187)</f>
        <v>25000</v>
      </c>
      <c r="E187" s="19">
        <f>SUM(F187+BB187)</f>
        <v>25000</v>
      </c>
      <c r="F187" s="19">
        <f>SUM(G187+H187+I187+P187+S187+T187+U187+AE187)</f>
        <v>0</v>
      </c>
      <c r="G187" s="19">
        <v>0</v>
      </c>
      <c r="H187" s="19">
        <v>0</v>
      </c>
      <c r="I187" s="19">
        <f t="shared" si="376"/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f t="shared" si="377"/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f t="shared" ref="U187" si="595">SUM(V187:AC187)</f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f>SUM(AF187:BA187)</f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0</v>
      </c>
      <c r="AP187" s="19">
        <v>0</v>
      </c>
      <c r="AQ187" s="19"/>
      <c r="AR187" s="19">
        <v>0</v>
      </c>
      <c r="AS187" s="19">
        <v>0</v>
      </c>
      <c r="AT187" s="19">
        <v>0</v>
      </c>
      <c r="AU187" s="19"/>
      <c r="AV187" s="19"/>
      <c r="AW187" s="19">
        <v>0</v>
      </c>
      <c r="AX187" s="19">
        <v>0</v>
      </c>
      <c r="AY187" s="19">
        <v>0</v>
      </c>
      <c r="AZ187" s="19"/>
      <c r="BA187" s="19">
        <v>0</v>
      </c>
      <c r="BB187" s="19">
        <f>SUM(BC187+BG187+BJ187+BL187+BO187)</f>
        <v>25000</v>
      </c>
      <c r="BC187" s="19">
        <f>SUM(BD187:BF187)</f>
        <v>0</v>
      </c>
      <c r="BD187" s="19">
        <v>0</v>
      </c>
      <c r="BE187" s="19">
        <v>0</v>
      </c>
      <c r="BF187" s="19">
        <v>0</v>
      </c>
      <c r="BG187" s="19">
        <f>SUM(BI187:BI187)</f>
        <v>0</v>
      </c>
      <c r="BH187" s="19">
        <v>0</v>
      </c>
      <c r="BI187" s="19">
        <v>0</v>
      </c>
      <c r="BJ187" s="19">
        <v>0</v>
      </c>
      <c r="BK187" s="19">
        <v>0</v>
      </c>
      <c r="BL187" s="19">
        <f t="shared" si="379"/>
        <v>0</v>
      </c>
      <c r="BM187" s="19">
        <v>0</v>
      </c>
      <c r="BN187" s="19">
        <v>0</v>
      </c>
      <c r="BO187" s="19">
        <f>SUM(BP187:BZ187)</f>
        <v>25000</v>
      </c>
      <c r="BP187" s="19">
        <v>0</v>
      </c>
      <c r="BQ187" s="19">
        <v>0</v>
      </c>
      <c r="BR187" s="19">
        <v>0</v>
      </c>
      <c r="BS187" s="19">
        <v>0</v>
      </c>
      <c r="BT187" s="19">
        <f>100000-75000</f>
        <v>25000</v>
      </c>
      <c r="BU187" s="19">
        <v>0</v>
      </c>
      <c r="BV187" s="19">
        <v>0</v>
      </c>
      <c r="BW187" s="19">
        <v>0</v>
      </c>
      <c r="BX187" s="19">
        <v>0</v>
      </c>
      <c r="BY187" s="19">
        <v>0</v>
      </c>
      <c r="BZ187" s="19">
        <v>0</v>
      </c>
      <c r="CA187" s="19">
        <f>SUM(CB187+CT187)</f>
        <v>0</v>
      </c>
      <c r="CB187" s="19">
        <f>SUM(CC187+CF187+CL187)</f>
        <v>0</v>
      </c>
      <c r="CC187" s="19">
        <f t="shared" si="380"/>
        <v>0</v>
      </c>
      <c r="CD187" s="19">
        <v>0</v>
      </c>
      <c r="CE187" s="19">
        <v>0</v>
      </c>
      <c r="CF187" s="19">
        <f>SUM(CG187:CK187)</f>
        <v>0</v>
      </c>
      <c r="CG187" s="19">
        <v>0</v>
      </c>
      <c r="CH187" s="19">
        <v>0</v>
      </c>
      <c r="CI187" s="19">
        <v>0</v>
      </c>
      <c r="CJ187" s="19">
        <v>0</v>
      </c>
      <c r="CK187" s="19">
        <v>0</v>
      </c>
      <c r="CL187" s="19">
        <f>SUM(CM187:CQ187)</f>
        <v>0</v>
      </c>
      <c r="CM187" s="19">
        <v>0</v>
      </c>
      <c r="CN187" s="19">
        <v>0</v>
      </c>
      <c r="CO187" s="19">
        <v>0</v>
      </c>
      <c r="CP187" s="19"/>
      <c r="CQ187" s="19"/>
      <c r="CR187" s="19"/>
      <c r="CS187" s="19"/>
      <c r="CT187" s="19">
        <v>0</v>
      </c>
      <c r="CU187" s="19"/>
      <c r="CV187" s="19"/>
      <c r="CW187" s="19"/>
      <c r="CX187" s="19">
        <f t="shared" si="382"/>
        <v>0</v>
      </c>
      <c r="CY187" s="19">
        <f t="shared" si="383"/>
        <v>0</v>
      </c>
      <c r="CZ187" s="19">
        <v>0</v>
      </c>
      <c r="DA187" s="20">
        <v>0</v>
      </c>
    </row>
    <row r="188" spans="1:106" s="86" customFormat="1" ht="31.5" x14ac:dyDescent="0.25">
      <c r="A188" s="71" t="s">
        <v>289</v>
      </c>
      <c r="B188" s="16" t="s">
        <v>1</v>
      </c>
      <c r="C188" s="17" t="s">
        <v>290</v>
      </c>
      <c r="D188" s="18">
        <f t="shared" ref="D188:AK188" si="596">SUM(D189)</f>
        <v>4021200</v>
      </c>
      <c r="E188" s="18">
        <f t="shared" si="596"/>
        <v>4021200</v>
      </c>
      <c r="F188" s="18">
        <f t="shared" si="596"/>
        <v>0</v>
      </c>
      <c r="G188" s="18">
        <f t="shared" si="596"/>
        <v>0</v>
      </c>
      <c r="H188" s="18">
        <f t="shared" si="596"/>
        <v>0</v>
      </c>
      <c r="I188" s="18">
        <f t="shared" si="596"/>
        <v>0</v>
      </c>
      <c r="J188" s="18">
        <f t="shared" si="596"/>
        <v>0</v>
      </c>
      <c r="K188" s="18">
        <f t="shared" si="596"/>
        <v>0</v>
      </c>
      <c r="L188" s="18">
        <f t="shared" si="596"/>
        <v>0</v>
      </c>
      <c r="M188" s="18">
        <f t="shared" si="596"/>
        <v>0</v>
      </c>
      <c r="N188" s="18">
        <f t="shared" si="596"/>
        <v>0</v>
      </c>
      <c r="O188" s="18">
        <f t="shared" si="596"/>
        <v>0</v>
      </c>
      <c r="P188" s="18">
        <f t="shared" si="596"/>
        <v>0</v>
      </c>
      <c r="Q188" s="18">
        <f t="shared" si="596"/>
        <v>0</v>
      </c>
      <c r="R188" s="18">
        <f t="shared" si="596"/>
        <v>0</v>
      </c>
      <c r="S188" s="18">
        <f t="shared" si="596"/>
        <v>0</v>
      </c>
      <c r="T188" s="18">
        <f t="shared" si="596"/>
        <v>0</v>
      </c>
      <c r="U188" s="18">
        <f t="shared" si="596"/>
        <v>0</v>
      </c>
      <c r="V188" s="18">
        <f t="shared" si="596"/>
        <v>0</v>
      </c>
      <c r="W188" s="18">
        <f t="shared" si="596"/>
        <v>0</v>
      </c>
      <c r="X188" s="18">
        <f t="shared" si="596"/>
        <v>0</v>
      </c>
      <c r="Y188" s="18">
        <f t="shared" si="596"/>
        <v>0</v>
      </c>
      <c r="Z188" s="18">
        <f t="shared" si="596"/>
        <v>0</v>
      </c>
      <c r="AA188" s="18">
        <f t="shared" si="596"/>
        <v>0</v>
      </c>
      <c r="AB188" s="18">
        <f t="shared" si="596"/>
        <v>0</v>
      </c>
      <c r="AC188" s="18">
        <f t="shared" si="596"/>
        <v>0</v>
      </c>
      <c r="AD188" s="18">
        <f t="shared" si="596"/>
        <v>0</v>
      </c>
      <c r="AE188" s="18">
        <f t="shared" si="596"/>
        <v>0</v>
      </c>
      <c r="AF188" s="18">
        <f t="shared" si="596"/>
        <v>0</v>
      </c>
      <c r="AG188" s="18">
        <f t="shared" si="596"/>
        <v>0</v>
      </c>
      <c r="AH188" s="18">
        <f t="shared" si="596"/>
        <v>0</v>
      </c>
      <c r="AI188" s="18">
        <f t="shared" si="596"/>
        <v>0</v>
      </c>
      <c r="AJ188" s="18">
        <f t="shared" si="596"/>
        <v>0</v>
      </c>
      <c r="AK188" s="18">
        <f t="shared" si="596"/>
        <v>0</v>
      </c>
      <c r="AL188" s="18">
        <f t="shared" ref="AL188:DA188" si="597">SUM(AL189)</f>
        <v>0</v>
      </c>
      <c r="AM188" s="18">
        <f t="shared" si="597"/>
        <v>0</v>
      </c>
      <c r="AN188" s="18">
        <f t="shared" si="597"/>
        <v>0</v>
      </c>
      <c r="AO188" s="18">
        <f t="shared" si="597"/>
        <v>0</v>
      </c>
      <c r="AP188" s="18">
        <f t="shared" si="597"/>
        <v>0</v>
      </c>
      <c r="AQ188" s="18"/>
      <c r="AR188" s="18">
        <f t="shared" si="597"/>
        <v>0</v>
      </c>
      <c r="AS188" s="18">
        <f t="shared" si="597"/>
        <v>0</v>
      </c>
      <c r="AT188" s="18">
        <f t="shared" si="597"/>
        <v>0</v>
      </c>
      <c r="AU188" s="18"/>
      <c r="AV188" s="18"/>
      <c r="AW188" s="18">
        <f t="shared" si="597"/>
        <v>0</v>
      </c>
      <c r="AX188" s="18">
        <f t="shared" si="597"/>
        <v>0</v>
      </c>
      <c r="AY188" s="18">
        <f t="shared" si="597"/>
        <v>0</v>
      </c>
      <c r="AZ188" s="18"/>
      <c r="BA188" s="18">
        <f t="shared" si="597"/>
        <v>0</v>
      </c>
      <c r="BB188" s="18">
        <f t="shared" si="597"/>
        <v>4021200</v>
      </c>
      <c r="BC188" s="18">
        <f t="shared" si="597"/>
        <v>0</v>
      </c>
      <c r="BD188" s="18">
        <f t="shared" si="597"/>
        <v>0</v>
      </c>
      <c r="BE188" s="18">
        <f t="shared" si="597"/>
        <v>0</v>
      </c>
      <c r="BF188" s="18">
        <f t="shared" si="597"/>
        <v>0</v>
      </c>
      <c r="BG188" s="18">
        <f t="shared" si="597"/>
        <v>0</v>
      </c>
      <c r="BH188" s="18">
        <f t="shared" si="597"/>
        <v>0</v>
      </c>
      <c r="BI188" s="18">
        <f t="shared" si="597"/>
        <v>0</v>
      </c>
      <c r="BJ188" s="18">
        <f t="shared" si="597"/>
        <v>0</v>
      </c>
      <c r="BK188" s="18">
        <f t="shared" si="597"/>
        <v>0</v>
      </c>
      <c r="BL188" s="18">
        <f t="shared" si="597"/>
        <v>0</v>
      </c>
      <c r="BM188" s="18">
        <f t="shared" si="597"/>
        <v>0</v>
      </c>
      <c r="BN188" s="18">
        <f t="shared" si="597"/>
        <v>0</v>
      </c>
      <c r="BO188" s="18">
        <f t="shared" si="597"/>
        <v>4021200</v>
      </c>
      <c r="BP188" s="18">
        <f t="shared" si="597"/>
        <v>0</v>
      </c>
      <c r="BQ188" s="18">
        <f t="shared" si="597"/>
        <v>4021200</v>
      </c>
      <c r="BR188" s="18">
        <f t="shared" si="597"/>
        <v>0</v>
      </c>
      <c r="BS188" s="18">
        <f t="shared" si="597"/>
        <v>0</v>
      </c>
      <c r="BT188" s="18">
        <f t="shared" si="597"/>
        <v>0</v>
      </c>
      <c r="BU188" s="18">
        <f t="shared" si="597"/>
        <v>0</v>
      </c>
      <c r="BV188" s="18">
        <f t="shared" si="597"/>
        <v>0</v>
      </c>
      <c r="BW188" s="18">
        <f t="shared" si="597"/>
        <v>0</v>
      </c>
      <c r="BX188" s="18">
        <f t="shared" si="597"/>
        <v>0</v>
      </c>
      <c r="BY188" s="18">
        <f t="shared" si="597"/>
        <v>0</v>
      </c>
      <c r="BZ188" s="18">
        <f t="shared" si="597"/>
        <v>0</v>
      </c>
      <c r="CA188" s="18">
        <f t="shared" si="597"/>
        <v>0</v>
      </c>
      <c r="CB188" s="18">
        <f t="shared" si="597"/>
        <v>0</v>
      </c>
      <c r="CC188" s="18">
        <f t="shared" si="597"/>
        <v>0</v>
      </c>
      <c r="CD188" s="18">
        <f t="shared" si="597"/>
        <v>0</v>
      </c>
      <c r="CE188" s="18">
        <f t="shared" si="597"/>
        <v>0</v>
      </c>
      <c r="CF188" s="18">
        <f t="shared" si="597"/>
        <v>0</v>
      </c>
      <c r="CG188" s="18">
        <f t="shared" si="597"/>
        <v>0</v>
      </c>
      <c r="CH188" s="18">
        <f t="shared" si="597"/>
        <v>0</v>
      </c>
      <c r="CI188" s="18">
        <f t="shared" si="597"/>
        <v>0</v>
      </c>
      <c r="CJ188" s="18">
        <f t="shared" si="597"/>
        <v>0</v>
      </c>
      <c r="CK188" s="18">
        <f t="shared" si="597"/>
        <v>0</v>
      </c>
      <c r="CL188" s="18">
        <f t="shared" si="597"/>
        <v>0</v>
      </c>
      <c r="CM188" s="18">
        <f t="shared" si="597"/>
        <v>0</v>
      </c>
      <c r="CN188" s="18">
        <f t="shared" si="597"/>
        <v>0</v>
      </c>
      <c r="CO188" s="18">
        <f t="shared" si="597"/>
        <v>0</v>
      </c>
      <c r="CP188" s="18"/>
      <c r="CQ188" s="18"/>
      <c r="CR188" s="18"/>
      <c r="CS188" s="18"/>
      <c r="CT188" s="18">
        <f t="shared" si="597"/>
        <v>0</v>
      </c>
      <c r="CU188" s="18"/>
      <c r="CV188" s="18"/>
      <c r="CW188" s="18"/>
      <c r="CX188" s="18">
        <f t="shared" si="597"/>
        <v>0</v>
      </c>
      <c r="CY188" s="18">
        <f t="shared" si="597"/>
        <v>0</v>
      </c>
      <c r="CZ188" s="18">
        <f t="shared" si="597"/>
        <v>0</v>
      </c>
      <c r="DA188" s="46">
        <f t="shared" si="597"/>
        <v>0</v>
      </c>
      <c r="DB188" s="85"/>
    </row>
    <row r="189" spans="1:106" ht="15.75" x14ac:dyDescent="0.25">
      <c r="A189" s="72" t="s">
        <v>1</v>
      </c>
      <c r="B189" s="21" t="s">
        <v>82</v>
      </c>
      <c r="C189" s="22" t="s">
        <v>291</v>
      </c>
      <c r="D189" s="18">
        <f>SUM(E189+CA189+CX189)</f>
        <v>4021200</v>
      </c>
      <c r="E189" s="19">
        <f>SUM(F189+BB189)</f>
        <v>4021200</v>
      </c>
      <c r="F189" s="19">
        <f>SUM(G189+H189+I189+P189+S189+T189+U189+AE189)</f>
        <v>0</v>
      </c>
      <c r="G189" s="19">
        <v>0</v>
      </c>
      <c r="H189" s="19">
        <v>0</v>
      </c>
      <c r="I189" s="19">
        <f t="shared" si="376"/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f t="shared" si="377"/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f t="shared" ref="U189" si="598">SUM(V189:AC189)</f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v>0</v>
      </c>
      <c r="AE189" s="19">
        <f>SUM(AF189:BA189)</f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>
        <v>0</v>
      </c>
      <c r="AQ189" s="19"/>
      <c r="AR189" s="19">
        <v>0</v>
      </c>
      <c r="AS189" s="19">
        <v>0</v>
      </c>
      <c r="AT189" s="19">
        <v>0</v>
      </c>
      <c r="AU189" s="19"/>
      <c r="AV189" s="19"/>
      <c r="AW189" s="19">
        <v>0</v>
      </c>
      <c r="AX189" s="19">
        <v>0</v>
      </c>
      <c r="AY189" s="19">
        <v>0</v>
      </c>
      <c r="AZ189" s="19"/>
      <c r="BA189" s="19">
        <v>0</v>
      </c>
      <c r="BB189" s="19">
        <f>SUM(BC189+BG189+BJ189+BL189+BO189)</f>
        <v>4021200</v>
      </c>
      <c r="BC189" s="19">
        <f>SUM(BD189:BF189)</f>
        <v>0</v>
      </c>
      <c r="BD189" s="19">
        <v>0</v>
      </c>
      <c r="BE189" s="19">
        <v>0</v>
      </c>
      <c r="BF189" s="19">
        <v>0</v>
      </c>
      <c r="BG189" s="19">
        <f>SUM(BI189:BI189)</f>
        <v>0</v>
      </c>
      <c r="BH189" s="19">
        <v>0</v>
      </c>
      <c r="BI189" s="19">
        <v>0</v>
      </c>
      <c r="BJ189" s="19">
        <v>0</v>
      </c>
      <c r="BK189" s="19">
        <v>0</v>
      </c>
      <c r="BL189" s="19">
        <f t="shared" si="379"/>
        <v>0</v>
      </c>
      <c r="BM189" s="19">
        <v>0</v>
      </c>
      <c r="BN189" s="19">
        <v>0</v>
      </c>
      <c r="BO189" s="19">
        <f>SUM(BP189:BZ189)</f>
        <v>4021200</v>
      </c>
      <c r="BP189" s="19">
        <v>0</v>
      </c>
      <c r="BQ189" s="23">
        <f>4471200-450000</f>
        <v>4021200</v>
      </c>
      <c r="BR189" s="19">
        <v>0</v>
      </c>
      <c r="BS189" s="19">
        <v>0</v>
      </c>
      <c r="BT189" s="19">
        <v>0</v>
      </c>
      <c r="BU189" s="19">
        <v>0</v>
      </c>
      <c r="BV189" s="19">
        <v>0</v>
      </c>
      <c r="BW189" s="19">
        <v>0</v>
      </c>
      <c r="BX189" s="19">
        <v>0</v>
      </c>
      <c r="BY189" s="19">
        <v>0</v>
      </c>
      <c r="BZ189" s="19">
        <v>0</v>
      </c>
      <c r="CA189" s="19">
        <f>SUM(CB189+CT189)</f>
        <v>0</v>
      </c>
      <c r="CB189" s="19">
        <f>SUM(CC189+CF189+CL189)</f>
        <v>0</v>
      </c>
      <c r="CC189" s="19">
        <f t="shared" si="380"/>
        <v>0</v>
      </c>
      <c r="CD189" s="19">
        <v>0</v>
      </c>
      <c r="CE189" s="19">
        <v>0</v>
      </c>
      <c r="CF189" s="19">
        <f>SUM(CG189:CK189)</f>
        <v>0</v>
      </c>
      <c r="CG189" s="19">
        <v>0</v>
      </c>
      <c r="CH189" s="19">
        <v>0</v>
      </c>
      <c r="CI189" s="19">
        <v>0</v>
      </c>
      <c r="CJ189" s="19">
        <v>0</v>
      </c>
      <c r="CK189" s="19">
        <v>0</v>
      </c>
      <c r="CL189" s="19">
        <f>SUM(CM189:CQ189)</f>
        <v>0</v>
      </c>
      <c r="CM189" s="19">
        <v>0</v>
      </c>
      <c r="CN189" s="19">
        <v>0</v>
      </c>
      <c r="CO189" s="19">
        <v>0</v>
      </c>
      <c r="CP189" s="19"/>
      <c r="CQ189" s="19"/>
      <c r="CR189" s="19"/>
      <c r="CS189" s="19"/>
      <c r="CT189" s="19">
        <v>0</v>
      </c>
      <c r="CU189" s="19"/>
      <c r="CV189" s="19"/>
      <c r="CW189" s="19"/>
      <c r="CX189" s="19">
        <f t="shared" si="382"/>
        <v>0</v>
      </c>
      <c r="CY189" s="19">
        <f t="shared" si="383"/>
        <v>0</v>
      </c>
      <c r="CZ189" s="19">
        <v>0</v>
      </c>
      <c r="DA189" s="20">
        <v>0</v>
      </c>
    </row>
    <row r="190" spans="1:106" s="86" customFormat="1" ht="31.5" x14ac:dyDescent="0.25">
      <c r="A190" s="71" t="s">
        <v>292</v>
      </c>
      <c r="B190" s="16" t="s">
        <v>1</v>
      </c>
      <c r="C190" s="17" t="s">
        <v>586</v>
      </c>
      <c r="D190" s="18">
        <f t="shared" ref="D190:AT190" si="599">SUM(D191:D197)</f>
        <v>189870628</v>
      </c>
      <c r="E190" s="18">
        <f t="shared" si="599"/>
        <v>189828306</v>
      </c>
      <c r="F190" s="18">
        <f t="shared" si="599"/>
        <v>19557906</v>
      </c>
      <c r="G190" s="18">
        <f t="shared" si="599"/>
        <v>1906727</v>
      </c>
      <c r="H190" s="18">
        <f t="shared" si="599"/>
        <v>199235</v>
      </c>
      <c r="I190" s="18">
        <f t="shared" si="599"/>
        <v>2642898</v>
      </c>
      <c r="J190" s="18">
        <f t="shared" si="599"/>
        <v>0</v>
      </c>
      <c r="K190" s="18">
        <f t="shared" si="599"/>
        <v>10000</v>
      </c>
      <c r="L190" s="18">
        <f t="shared" si="599"/>
        <v>0</v>
      </c>
      <c r="M190" s="18">
        <f t="shared" si="599"/>
        <v>0</v>
      </c>
      <c r="N190" s="18">
        <f t="shared" si="599"/>
        <v>985214</v>
      </c>
      <c r="O190" s="18">
        <f t="shared" si="599"/>
        <v>1647684</v>
      </c>
      <c r="P190" s="18">
        <f t="shared" si="599"/>
        <v>0</v>
      </c>
      <c r="Q190" s="18">
        <f t="shared" si="599"/>
        <v>0</v>
      </c>
      <c r="R190" s="18">
        <f t="shared" si="599"/>
        <v>0</v>
      </c>
      <c r="S190" s="18">
        <f t="shared" si="599"/>
        <v>0</v>
      </c>
      <c r="T190" s="18">
        <f t="shared" si="599"/>
        <v>71833</v>
      </c>
      <c r="U190" s="18">
        <f t="shared" si="599"/>
        <v>0</v>
      </c>
      <c r="V190" s="18">
        <f t="shared" si="599"/>
        <v>0</v>
      </c>
      <c r="W190" s="18">
        <f t="shared" si="599"/>
        <v>0</v>
      </c>
      <c r="X190" s="18">
        <f t="shared" si="599"/>
        <v>0</v>
      </c>
      <c r="Y190" s="18">
        <f t="shared" si="599"/>
        <v>0</v>
      </c>
      <c r="Z190" s="18">
        <f t="shared" si="599"/>
        <v>0</v>
      </c>
      <c r="AA190" s="18">
        <f t="shared" si="599"/>
        <v>0</v>
      </c>
      <c r="AB190" s="18">
        <f t="shared" si="599"/>
        <v>0</v>
      </c>
      <c r="AC190" s="18">
        <f t="shared" si="599"/>
        <v>0</v>
      </c>
      <c r="AD190" s="18">
        <f t="shared" ref="AD190" si="600">SUM(AD191:AD197)</f>
        <v>0</v>
      </c>
      <c r="AE190" s="18">
        <f t="shared" si="599"/>
        <v>14737213</v>
      </c>
      <c r="AF190" s="18">
        <f t="shared" si="599"/>
        <v>0</v>
      </c>
      <c r="AG190" s="18">
        <f t="shared" si="599"/>
        <v>0</v>
      </c>
      <c r="AH190" s="18">
        <f t="shared" si="599"/>
        <v>0</v>
      </c>
      <c r="AI190" s="18">
        <f t="shared" si="599"/>
        <v>0</v>
      </c>
      <c r="AJ190" s="18">
        <f t="shared" si="599"/>
        <v>0</v>
      </c>
      <c r="AK190" s="18">
        <f t="shared" si="599"/>
        <v>0</v>
      </c>
      <c r="AL190" s="18">
        <f t="shared" si="599"/>
        <v>0</v>
      </c>
      <c r="AM190" s="18">
        <f t="shared" si="599"/>
        <v>0</v>
      </c>
      <c r="AN190" s="18">
        <f t="shared" si="599"/>
        <v>0</v>
      </c>
      <c r="AO190" s="18">
        <f t="shared" si="599"/>
        <v>0</v>
      </c>
      <c r="AP190" s="18">
        <f t="shared" si="599"/>
        <v>0</v>
      </c>
      <c r="AQ190" s="18"/>
      <c r="AR190" s="18">
        <f t="shared" si="599"/>
        <v>0</v>
      </c>
      <c r="AS190" s="18">
        <f t="shared" si="599"/>
        <v>0</v>
      </c>
      <c r="AT190" s="18">
        <f t="shared" si="599"/>
        <v>0</v>
      </c>
      <c r="AU190" s="18"/>
      <c r="AV190" s="18"/>
      <c r="AW190" s="18">
        <f>SUM(AW191:AW197)</f>
        <v>14082208</v>
      </c>
      <c r="AX190" s="18">
        <f>SUM(AX191:AX197)</f>
        <v>23437</v>
      </c>
      <c r="AY190" s="18">
        <f>SUM(AY191:AY197)</f>
        <v>0</v>
      </c>
      <c r="AZ190" s="18"/>
      <c r="BA190" s="18">
        <f t="shared" ref="BA190:CO190" si="601">SUM(BA191:BA197)</f>
        <v>631568</v>
      </c>
      <c r="BB190" s="18">
        <f t="shared" si="601"/>
        <v>170270400</v>
      </c>
      <c r="BC190" s="18">
        <f t="shared" si="601"/>
        <v>0</v>
      </c>
      <c r="BD190" s="18">
        <f t="shared" si="601"/>
        <v>0</v>
      </c>
      <c r="BE190" s="18">
        <f t="shared" si="601"/>
        <v>0</v>
      </c>
      <c r="BF190" s="18">
        <f t="shared" si="601"/>
        <v>0</v>
      </c>
      <c r="BG190" s="18">
        <f t="shared" si="601"/>
        <v>0</v>
      </c>
      <c r="BH190" s="18">
        <f t="shared" si="601"/>
        <v>0</v>
      </c>
      <c r="BI190" s="18">
        <f t="shared" si="601"/>
        <v>0</v>
      </c>
      <c r="BJ190" s="18">
        <f t="shared" si="601"/>
        <v>0</v>
      </c>
      <c r="BK190" s="18">
        <f t="shared" ref="BK190" si="602">SUM(BK191:BK197)</f>
        <v>0</v>
      </c>
      <c r="BL190" s="18">
        <f t="shared" si="601"/>
        <v>0</v>
      </c>
      <c r="BM190" s="18">
        <f t="shared" si="601"/>
        <v>0</v>
      </c>
      <c r="BN190" s="18">
        <f t="shared" si="601"/>
        <v>0</v>
      </c>
      <c r="BO190" s="18">
        <f t="shared" si="601"/>
        <v>170270400</v>
      </c>
      <c r="BP190" s="18">
        <f t="shared" si="601"/>
        <v>0</v>
      </c>
      <c r="BQ190" s="18">
        <f t="shared" si="601"/>
        <v>0</v>
      </c>
      <c r="BR190" s="18">
        <f t="shared" si="601"/>
        <v>0</v>
      </c>
      <c r="BS190" s="18">
        <f t="shared" si="601"/>
        <v>0</v>
      </c>
      <c r="BT190" s="18">
        <f t="shared" si="601"/>
        <v>0</v>
      </c>
      <c r="BU190" s="18">
        <f t="shared" si="601"/>
        <v>0</v>
      </c>
      <c r="BV190" s="18">
        <f t="shared" si="601"/>
        <v>0</v>
      </c>
      <c r="BW190" s="18">
        <f t="shared" si="601"/>
        <v>1910000</v>
      </c>
      <c r="BX190" s="18">
        <f t="shared" si="601"/>
        <v>296784</v>
      </c>
      <c r="BY190" s="18">
        <f t="shared" si="601"/>
        <v>95428965</v>
      </c>
      <c r="BZ190" s="18">
        <f t="shared" si="601"/>
        <v>72634651</v>
      </c>
      <c r="CA190" s="18">
        <f t="shared" si="601"/>
        <v>42322</v>
      </c>
      <c r="CB190" s="18">
        <f t="shared" si="601"/>
        <v>42322</v>
      </c>
      <c r="CC190" s="18">
        <f t="shared" si="601"/>
        <v>42322</v>
      </c>
      <c r="CD190" s="18">
        <f t="shared" si="601"/>
        <v>0</v>
      </c>
      <c r="CE190" s="18">
        <f t="shared" si="601"/>
        <v>42322</v>
      </c>
      <c r="CF190" s="18">
        <f t="shared" si="601"/>
        <v>0</v>
      </c>
      <c r="CG190" s="18">
        <f t="shared" si="601"/>
        <v>0</v>
      </c>
      <c r="CH190" s="18">
        <f t="shared" si="601"/>
        <v>0</v>
      </c>
      <c r="CI190" s="18">
        <f t="shared" si="601"/>
        <v>0</v>
      </c>
      <c r="CJ190" s="18">
        <f t="shared" si="601"/>
        <v>0</v>
      </c>
      <c r="CK190" s="18">
        <f t="shared" ref="CK190" si="603">SUM(CK191:CK197)</f>
        <v>0</v>
      </c>
      <c r="CL190" s="18">
        <f t="shared" si="601"/>
        <v>0</v>
      </c>
      <c r="CM190" s="18">
        <f t="shared" si="601"/>
        <v>0</v>
      </c>
      <c r="CN190" s="18">
        <f t="shared" si="601"/>
        <v>0</v>
      </c>
      <c r="CO190" s="18">
        <f t="shared" si="601"/>
        <v>0</v>
      </c>
      <c r="CP190" s="18"/>
      <c r="CQ190" s="18"/>
      <c r="CR190" s="18"/>
      <c r="CS190" s="18"/>
      <c r="CT190" s="18">
        <f t="shared" ref="CT190:DA190" si="604">SUM(CT191:CT197)</f>
        <v>0</v>
      </c>
      <c r="CU190" s="18"/>
      <c r="CV190" s="18"/>
      <c r="CW190" s="18"/>
      <c r="CX190" s="18">
        <f t="shared" si="604"/>
        <v>0</v>
      </c>
      <c r="CY190" s="18">
        <f t="shared" si="604"/>
        <v>0</v>
      </c>
      <c r="CZ190" s="18">
        <f t="shared" si="604"/>
        <v>0</v>
      </c>
      <c r="DA190" s="46">
        <f t="shared" si="604"/>
        <v>0</v>
      </c>
      <c r="DB190" s="85"/>
    </row>
    <row r="191" spans="1:106" ht="31.5" x14ac:dyDescent="0.25">
      <c r="A191" s="72" t="s">
        <v>1</v>
      </c>
      <c r="B191" s="21" t="s">
        <v>73</v>
      </c>
      <c r="C191" s="22" t="s">
        <v>540</v>
      </c>
      <c r="D191" s="18">
        <f t="shared" ref="D191:D197" si="605">SUM(E191+CA191+CX191)</f>
        <v>1611049</v>
      </c>
      <c r="E191" s="19">
        <f t="shared" ref="E191:E197" si="606">SUM(F191+BB191)</f>
        <v>1611049</v>
      </c>
      <c r="F191" s="19">
        <f t="shared" ref="F191:F197" si="607">SUM(G191+H191+I191+P191+S191+T191+U191+AE191)</f>
        <v>998120</v>
      </c>
      <c r="G191" s="23">
        <v>532230</v>
      </c>
      <c r="H191" s="23">
        <v>129208</v>
      </c>
      <c r="I191" s="19">
        <f t="shared" si="376"/>
        <v>336682</v>
      </c>
      <c r="J191" s="23">
        <v>0</v>
      </c>
      <c r="K191" s="23">
        <v>0</v>
      </c>
      <c r="L191" s="23">
        <v>0</v>
      </c>
      <c r="M191" s="23">
        <v>0</v>
      </c>
      <c r="N191" s="23">
        <v>336682</v>
      </c>
      <c r="O191" s="23">
        <v>0</v>
      </c>
      <c r="P191" s="19">
        <f t="shared" si="377"/>
        <v>0</v>
      </c>
      <c r="Q191" s="23">
        <v>0</v>
      </c>
      <c r="R191" s="23">
        <v>0</v>
      </c>
      <c r="S191" s="23">
        <v>0</v>
      </c>
      <c r="T191" s="23">
        <v>0</v>
      </c>
      <c r="U191" s="19">
        <f t="shared" ref="U191:U197" si="608">SUM(V191:AC191)</f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f t="shared" ref="AE191:AE197" si="609">SUM(AF191:BA191)</f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>
        <v>0</v>
      </c>
      <c r="AQ191" s="19"/>
      <c r="AR191" s="19">
        <v>0</v>
      </c>
      <c r="AS191" s="19">
        <v>0</v>
      </c>
      <c r="AT191" s="19">
        <v>0</v>
      </c>
      <c r="AU191" s="19">
        <v>0</v>
      </c>
      <c r="AV191" s="19">
        <v>0</v>
      </c>
      <c r="AW191" s="19">
        <v>0</v>
      </c>
      <c r="AX191" s="23">
        <v>0</v>
      </c>
      <c r="AY191" s="23">
        <v>0</v>
      </c>
      <c r="AZ191" s="23">
        <v>0</v>
      </c>
      <c r="BA191" s="23">
        <v>0</v>
      </c>
      <c r="BB191" s="19">
        <f t="shared" ref="BB191:BB197" si="610">SUM(BC191+BG191+BJ191+BL191+BO191)</f>
        <v>612929</v>
      </c>
      <c r="BC191" s="19">
        <f t="shared" ref="BC191:BC197" si="611">SUM(BD191:BF191)</f>
        <v>0</v>
      </c>
      <c r="BD191" s="19">
        <v>0</v>
      </c>
      <c r="BE191" s="19">
        <v>0</v>
      </c>
      <c r="BF191" s="19">
        <v>0</v>
      </c>
      <c r="BG191" s="19">
        <f t="shared" ref="BG191:BG197" si="612">SUM(BI191:BI191)</f>
        <v>0</v>
      </c>
      <c r="BH191" s="19">
        <v>0</v>
      </c>
      <c r="BI191" s="19">
        <v>0</v>
      </c>
      <c r="BJ191" s="19">
        <v>0</v>
      </c>
      <c r="BK191" s="19">
        <v>0</v>
      </c>
      <c r="BL191" s="19">
        <f t="shared" si="379"/>
        <v>0</v>
      </c>
      <c r="BM191" s="19">
        <v>0</v>
      </c>
      <c r="BN191" s="19">
        <v>0</v>
      </c>
      <c r="BO191" s="19">
        <f t="shared" ref="BO191:BO197" si="613">SUM(BP191:BZ191)</f>
        <v>612929</v>
      </c>
      <c r="BP191" s="19">
        <v>0</v>
      </c>
      <c r="BQ191" s="19">
        <v>0</v>
      </c>
      <c r="BR191" s="19">
        <v>0</v>
      </c>
      <c r="BS191" s="19">
        <v>0</v>
      </c>
      <c r="BT191" s="19">
        <v>0</v>
      </c>
      <c r="BU191" s="19">
        <v>0</v>
      </c>
      <c r="BV191" s="19">
        <v>0</v>
      </c>
      <c r="BW191" s="19">
        <v>0</v>
      </c>
      <c r="BX191" s="23">
        <v>0</v>
      </c>
      <c r="BY191" s="23">
        <v>612929</v>
      </c>
      <c r="BZ191" s="23">
        <v>0</v>
      </c>
      <c r="CA191" s="19">
        <f t="shared" ref="CA191:CA197" si="614">SUM(CB191+CT191)</f>
        <v>0</v>
      </c>
      <c r="CB191" s="19">
        <f t="shared" ref="CB191:CB197" si="615">SUM(CC191+CF191+CL191)</f>
        <v>0</v>
      </c>
      <c r="CC191" s="19">
        <f t="shared" si="380"/>
        <v>0</v>
      </c>
      <c r="CD191" s="19">
        <v>0</v>
      </c>
      <c r="CE191" s="19">
        <v>0</v>
      </c>
      <c r="CF191" s="19">
        <f t="shared" ref="CF191:CF197" si="616">SUM(CG191:CK191)</f>
        <v>0</v>
      </c>
      <c r="CG191" s="19">
        <v>0</v>
      </c>
      <c r="CH191" s="19">
        <v>0</v>
      </c>
      <c r="CI191" s="19">
        <v>0</v>
      </c>
      <c r="CJ191" s="19">
        <v>0</v>
      </c>
      <c r="CK191" s="19">
        <v>0</v>
      </c>
      <c r="CL191" s="19">
        <f t="shared" ref="CL191:CL197" si="617">SUM(CM191:CQ191)</f>
        <v>0</v>
      </c>
      <c r="CM191" s="19">
        <v>0</v>
      </c>
      <c r="CN191" s="19">
        <v>0</v>
      </c>
      <c r="CO191" s="19">
        <v>0</v>
      </c>
      <c r="CP191" s="19"/>
      <c r="CQ191" s="19"/>
      <c r="CR191" s="19"/>
      <c r="CS191" s="19"/>
      <c r="CT191" s="19">
        <v>0</v>
      </c>
      <c r="CU191" s="19"/>
      <c r="CV191" s="19"/>
      <c r="CW191" s="19"/>
      <c r="CX191" s="19">
        <f t="shared" si="382"/>
        <v>0</v>
      </c>
      <c r="CY191" s="19">
        <f t="shared" si="383"/>
        <v>0</v>
      </c>
      <c r="CZ191" s="19">
        <v>0</v>
      </c>
      <c r="DA191" s="20">
        <v>0</v>
      </c>
    </row>
    <row r="192" spans="1:106" ht="31.5" x14ac:dyDescent="0.25">
      <c r="A192" s="72" t="s">
        <v>1</v>
      </c>
      <c r="B192" s="21" t="s">
        <v>69</v>
      </c>
      <c r="C192" s="22" t="s">
        <v>537</v>
      </c>
      <c r="D192" s="18">
        <f t="shared" si="605"/>
        <v>2125002</v>
      </c>
      <c r="E192" s="19">
        <f t="shared" si="606"/>
        <v>2082680</v>
      </c>
      <c r="F192" s="19">
        <f t="shared" si="607"/>
        <v>1324838</v>
      </c>
      <c r="G192" s="23">
        <v>534446</v>
      </c>
      <c r="H192" s="23">
        <v>70027</v>
      </c>
      <c r="I192" s="19">
        <f t="shared" si="376"/>
        <v>648532</v>
      </c>
      <c r="J192" s="23">
        <v>0</v>
      </c>
      <c r="K192" s="23">
        <v>0</v>
      </c>
      <c r="L192" s="23">
        <v>0</v>
      </c>
      <c r="M192" s="23">
        <v>0</v>
      </c>
      <c r="N192" s="23">
        <v>648532</v>
      </c>
      <c r="O192" s="23">
        <v>0</v>
      </c>
      <c r="P192" s="19">
        <f t="shared" si="377"/>
        <v>0</v>
      </c>
      <c r="Q192" s="23">
        <v>0</v>
      </c>
      <c r="R192" s="23">
        <v>0</v>
      </c>
      <c r="S192" s="23">
        <v>0</v>
      </c>
      <c r="T192" s="23">
        <v>71833</v>
      </c>
      <c r="U192" s="19">
        <f t="shared" si="608"/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  <c r="AE192" s="19">
        <f t="shared" si="609"/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/>
      <c r="AR192" s="19">
        <v>0</v>
      </c>
      <c r="AS192" s="19">
        <v>0</v>
      </c>
      <c r="AT192" s="19">
        <v>0</v>
      </c>
      <c r="AU192" s="19">
        <v>0</v>
      </c>
      <c r="AV192" s="19">
        <v>0</v>
      </c>
      <c r="AW192" s="19">
        <v>0</v>
      </c>
      <c r="AX192" s="23">
        <v>0</v>
      </c>
      <c r="AY192" s="23">
        <v>0</v>
      </c>
      <c r="AZ192" s="23">
        <v>0</v>
      </c>
      <c r="BA192" s="23">
        <v>0</v>
      </c>
      <c r="BB192" s="19">
        <f t="shared" si="610"/>
        <v>757842</v>
      </c>
      <c r="BC192" s="19">
        <f t="shared" si="611"/>
        <v>0</v>
      </c>
      <c r="BD192" s="19">
        <v>0</v>
      </c>
      <c r="BE192" s="19">
        <v>0</v>
      </c>
      <c r="BF192" s="19">
        <v>0</v>
      </c>
      <c r="BG192" s="19">
        <f t="shared" si="612"/>
        <v>0</v>
      </c>
      <c r="BH192" s="19">
        <v>0</v>
      </c>
      <c r="BI192" s="19">
        <v>0</v>
      </c>
      <c r="BJ192" s="19">
        <v>0</v>
      </c>
      <c r="BK192" s="19">
        <v>0</v>
      </c>
      <c r="BL192" s="19">
        <f t="shared" si="379"/>
        <v>0</v>
      </c>
      <c r="BM192" s="19">
        <v>0</v>
      </c>
      <c r="BN192" s="19">
        <v>0</v>
      </c>
      <c r="BO192" s="19">
        <f t="shared" si="613"/>
        <v>757842</v>
      </c>
      <c r="BP192" s="19">
        <v>0</v>
      </c>
      <c r="BQ192" s="19">
        <v>0</v>
      </c>
      <c r="BR192" s="19">
        <v>0</v>
      </c>
      <c r="BS192" s="19">
        <v>0</v>
      </c>
      <c r="BT192" s="19">
        <v>0</v>
      </c>
      <c r="BU192" s="19">
        <v>0</v>
      </c>
      <c r="BV192" s="19">
        <v>0</v>
      </c>
      <c r="BW192" s="19">
        <v>0</v>
      </c>
      <c r="BX192" s="23">
        <v>0</v>
      </c>
      <c r="BY192" s="23">
        <v>757842</v>
      </c>
      <c r="BZ192" s="23">
        <v>0</v>
      </c>
      <c r="CA192" s="19">
        <f t="shared" si="614"/>
        <v>42322</v>
      </c>
      <c r="CB192" s="19">
        <f t="shared" si="615"/>
        <v>42322</v>
      </c>
      <c r="CC192" s="19">
        <f t="shared" si="380"/>
        <v>42322</v>
      </c>
      <c r="CD192" s="19">
        <v>0</v>
      </c>
      <c r="CE192" s="23">
        <v>42322</v>
      </c>
      <c r="CF192" s="19">
        <f t="shared" si="616"/>
        <v>0</v>
      </c>
      <c r="CG192" s="19">
        <v>0</v>
      </c>
      <c r="CH192" s="19">
        <v>0</v>
      </c>
      <c r="CI192" s="19">
        <v>0</v>
      </c>
      <c r="CJ192" s="19">
        <v>0</v>
      </c>
      <c r="CK192" s="19">
        <v>0</v>
      </c>
      <c r="CL192" s="19">
        <f t="shared" si="617"/>
        <v>0</v>
      </c>
      <c r="CM192" s="19">
        <v>0</v>
      </c>
      <c r="CN192" s="19">
        <v>0</v>
      </c>
      <c r="CO192" s="19">
        <v>0</v>
      </c>
      <c r="CP192" s="19"/>
      <c r="CQ192" s="19"/>
      <c r="CR192" s="19"/>
      <c r="CS192" s="19"/>
      <c r="CT192" s="19">
        <v>0</v>
      </c>
      <c r="CU192" s="19"/>
      <c r="CV192" s="19"/>
      <c r="CW192" s="19"/>
      <c r="CX192" s="19">
        <f t="shared" si="382"/>
        <v>0</v>
      </c>
      <c r="CY192" s="19">
        <f t="shared" si="383"/>
        <v>0</v>
      </c>
      <c r="CZ192" s="19">
        <v>0</v>
      </c>
      <c r="DA192" s="20">
        <v>0</v>
      </c>
    </row>
    <row r="193" spans="1:106" ht="31.5" x14ac:dyDescent="0.25">
      <c r="A193" s="72" t="s">
        <v>1</v>
      </c>
      <c r="B193" s="21" t="s">
        <v>82</v>
      </c>
      <c r="C193" s="22" t="s">
        <v>538</v>
      </c>
      <c r="D193" s="18">
        <f t="shared" si="605"/>
        <v>106639349</v>
      </c>
      <c r="E193" s="19">
        <f t="shared" si="606"/>
        <v>106639349</v>
      </c>
      <c r="F193" s="19">
        <f t="shared" si="607"/>
        <v>16361460</v>
      </c>
      <c r="G193" s="23">
        <v>0</v>
      </c>
      <c r="H193" s="23">
        <v>0</v>
      </c>
      <c r="I193" s="19">
        <f>SUM(J193:O193)</f>
        <v>1647684</v>
      </c>
      <c r="J193" s="23"/>
      <c r="K193" s="23">
        <v>0</v>
      </c>
      <c r="L193" s="23">
        <v>0</v>
      </c>
      <c r="M193" s="23">
        <v>0</v>
      </c>
      <c r="N193" s="23">
        <v>0</v>
      </c>
      <c r="O193" s="23">
        <f>2247684-600000</f>
        <v>1647684</v>
      </c>
      <c r="P193" s="19">
        <f>SUM(Q193:R193)</f>
        <v>0</v>
      </c>
      <c r="Q193" s="23">
        <v>0</v>
      </c>
      <c r="R193" s="23">
        <v>0</v>
      </c>
      <c r="S193" s="23">
        <v>0</v>
      </c>
      <c r="T193" s="23">
        <v>0</v>
      </c>
      <c r="U193" s="19">
        <f t="shared" si="608"/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f t="shared" si="609"/>
        <v>14713776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>
        <v>0</v>
      </c>
      <c r="AQ193" s="19"/>
      <c r="AR193" s="19">
        <v>0</v>
      </c>
      <c r="AS193" s="19">
        <v>0</v>
      </c>
      <c r="AT193" s="19">
        <v>0</v>
      </c>
      <c r="AU193" s="19">
        <v>0</v>
      </c>
      <c r="AV193" s="19">
        <v>0</v>
      </c>
      <c r="AW193" s="19">
        <v>14082208</v>
      </c>
      <c r="AX193" s="23">
        <v>0</v>
      </c>
      <c r="AY193" s="23">
        <v>0</v>
      </c>
      <c r="AZ193" s="23">
        <v>0</v>
      </c>
      <c r="BA193" s="23">
        <f>831568-200000</f>
        <v>631568</v>
      </c>
      <c r="BB193" s="19">
        <f t="shared" si="610"/>
        <v>90277889</v>
      </c>
      <c r="BC193" s="19">
        <f t="shared" si="611"/>
        <v>0</v>
      </c>
      <c r="BD193" s="19">
        <v>0</v>
      </c>
      <c r="BE193" s="19">
        <v>0</v>
      </c>
      <c r="BF193" s="19">
        <v>0</v>
      </c>
      <c r="BG193" s="19">
        <f t="shared" si="612"/>
        <v>0</v>
      </c>
      <c r="BH193" s="19">
        <v>0</v>
      </c>
      <c r="BI193" s="19">
        <v>0</v>
      </c>
      <c r="BJ193" s="19">
        <v>0</v>
      </c>
      <c r="BK193" s="19">
        <v>0</v>
      </c>
      <c r="BL193" s="19">
        <f>SUM(BM193)</f>
        <v>0</v>
      </c>
      <c r="BM193" s="19">
        <v>0</v>
      </c>
      <c r="BN193" s="19">
        <v>0</v>
      </c>
      <c r="BO193" s="19">
        <f t="shared" si="613"/>
        <v>90277889</v>
      </c>
      <c r="BP193" s="19">
        <v>0</v>
      </c>
      <c r="BQ193" s="19">
        <v>0</v>
      </c>
      <c r="BR193" s="19">
        <v>0</v>
      </c>
      <c r="BS193" s="19">
        <v>0</v>
      </c>
      <c r="BT193" s="19">
        <v>0</v>
      </c>
      <c r="BU193" s="19">
        <v>0</v>
      </c>
      <c r="BV193" s="19">
        <v>0</v>
      </c>
      <c r="BW193" s="19">
        <v>1910000</v>
      </c>
      <c r="BX193" s="23">
        <v>296784</v>
      </c>
      <c r="BY193" s="23">
        <f>14794456+1343561</f>
        <v>16138017</v>
      </c>
      <c r="BZ193" s="23">
        <f>15170760+614702+27767626+28380000</f>
        <v>71933088</v>
      </c>
      <c r="CA193" s="19">
        <f t="shared" si="614"/>
        <v>0</v>
      </c>
      <c r="CB193" s="19">
        <f t="shared" si="615"/>
        <v>0</v>
      </c>
      <c r="CC193" s="19">
        <f>SUM(CD193:CE193)</f>
        <v>0</v>
      </c>
      <c r="CD193" s="19">
        <v>0</v>
      </c>
      <c r="CE193" s="19"/>
      <c r="CF193" s="19">
        <f t="shared" si="616"/>
        <v>0</v>
      </c>
      <c r="CG193" s="19">
        <v>0</v>
      </c>
      <c r="CH193" s="19">
        <v>0</v>
      </c>
      <c r="CI193" s="19">
        <v>0</v>
      </c>
      <c r="CJ193" s="19">
        <v>0</v>
      </c>
      <c r="CK193" s="19">
        <v>0</v>
      </c>
      <c r="CL193" s="19">
        <f t="shared" si="617"/>
        <v>0</v>
      </c>
      <c r="CM193" s="19">
        <v>0</v>
      </c>
      <c r="CN193" s="19">
        <v>0</v>
      </c>
      <c r="CO193" s="19">
        <v>0</v>
      </c>
      <c r="CP193" s="19"/>
      <c r="CQ193" s="19"/>
      <c r="CR193" s="19"/>
      <c r="CS193" s="19"/>
      <c r="CT193" s="19">
        <v>0</v>
      </c>
      <c r="CU193" s="19"/>
      <c r="CV193" s="19"/>
      <c r="CW193" s="19"/>
      <c r="CX193" s="19">
        <f>SUM(CY193)</f>
        <v>0</v>
      </c>
      <c r="CY193" s="19">
        <f>SUM(CZ193:DA193)</f>
        <v>0</v>
      </c>
      <c r="CZ193" s="19">
        <v>0</v>
      </c>
      <c r="DA193" s="20">
        <v>0</v>
      </c>
    </row>
    <row r="194" spans="1:106" ht="15.75" x14ac:dyDescent="0.25">
      <c r="A194" s="72" t="s">
        <v>1</v>
      </c>
      <c r="B194" s="21" t="s">
        <v>82</v>
      </c>
      <c r="C194" s="22" t="s">
        <v>539</v>
      </c>
      <c r="D194" s="18">
        <f t="shared" si="605"/>
        <v>72146888</v>
      </c>
      <c r="E194" s="19">
        <f t="shared" si="606"/>
        <v>72146888</v>
      </c>
      <c r="F194" s="19">
        <f t="shared" si="607"/>
        <v>0</v>
      </c>
      <c r="G194" s="23">
        <v>0</v>
      </c>
      <c r="H194" s="23">
        <v>0</v>
      </c>
      <c r="I194" s="19">
        <f t="shared" si="376"/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19">
        <f t="shared" si="377"/>
        <v>0</v>
      </c>
      <c r="Q194" s="23">
        <v>0</v>
      </c>
      <c r="R194" s="23">
        <v>0</v>
      </c>
      <c r="S194" s="23">
        <v>0</v>
      </c>
      <c r="T194" s="23">
        <v>0</v>
      </c>
      <c r="U194" s="19">
        <f t="shared" si="608"/>
        <v>0</v>
      </c>
      <c r="V194" s="19">
        <v>0</v>
      </c>
      <c r="W194" s="19">
        <v>0</v>
      </c>
      <c r="X194" s="19">
        <v>0</v>
      </c>
      <c r="Y194" s="19">
        <v>0</v>
      </c>
      <c r="Z194" s="19">
        <v>0</v>
      </c>
      <c r="AA194" s="19">
        <v>0</v>
      </c>
      <c r="AB194" s="19">
        <v>0</v>
      </c>
      <c r="AC194" s="19">
        <v>0</v>
      </c>
      <c r="AD194" s="19">
        <v>0</v>
      </c>
      <c r="AE194" s="19">
        <f t="shared" si="609"/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/>
      <c r="AR194" s="19">
        <v>0</v>
      </c>
      <c r="AS194" s="19">
        <v>0</v>
      </c>
      <c r="AT194" s="19">
        <v>0</v>
      </c>
      <c r="AU194" s="19">
        <v>0</v>
      </c>
      <c r="AV194" s="19">
        <v>0</v>
      </c>
      <c r="AW194" s="19">
        <v>0</v>
      </c>
      <c r="AX194" s="23">
        <v>0</v>
      </c>
      <c r="AY194" s="23">
        <v>0</v>
      </c>
      <c r="AZ194" s="23">
        <v>0</v>
      </c>
      <c r="BA194" s="23">
        <v>0</v>
      </c>
      <c r="BB194" s="19">
        <f t="shared" si="610"/>
        <v>72146888</v>
      </c>
      <c r="BC194" s="19">
        <f t="shared" si="611"/>
        <v>0</v>
      </c>
      <c r="BD194" s="19">
        <v>0</v>
      </c>
      <c r="BE194" s="19">
        <v>0</v>
      </c>
      <c r="BF194" s="19">
        <v>0</v>
      </c>
      <c r="BG194" s="19">
        <f t="shared" si="612"/>
        <v>0</v>
      </c>
      <c r="BH194" s="19">
        <v>0</v>
      </c>
      <c r="BI194" s="19">
        <v>0</v>
      </c>
      <c r="BJ194" s="19">
        <v>0</v>
      </c>
      <c r="BK194" s="19">
        <v>0</v>
      </c>
      <c r="BL194" s="19">
        <f t="shared" si="379"/>
        <v>0</v>
      </c>
      <c r="BM194" s="19">
        <v>0</v>
      </c>
      <c r="BN194" s="19">
        <v>0</v>
      </c>
      <c r="BO194" s="19">
        <f t="shared" si="613"/>
        <v>72146888</v>
      </c>
      <c r="BP194" s="19">
        <v>0</v>
      </c>
      <c r="BQ194" s="19">
        <v>0</v>
      </c>
      <c r="BR194" s="19">
        <v>0</v>
      </c>
      <c r="BS194" s="19">
        <v>0</v>
      </c>
      <c r="BT194" s="19">
        <v>0</v>
      </c>
      <c r="BU194" s="19">
        <v>0</v>
      </c>
      <c r="BV194" s="19">
        <v>0</v>
      </c>
      <c r="BW194" s="19">
        <v>0</v>
      </c>
      <c r="BX194" s="23">
        <v>0</v>
      </c>
      <c r="BY194" s="23">
        <f>67173424+4603464</f>
        <v>71776888</v>
      </c>
      <c r="BZ194" s="23">
        <v>370000</v>
      </c>
      <c r="CA194" s="19">
        <f t="shared" si="614"/>
        <v>0</v>
      </c>
      <c r="CB194" s="19">
        <f t="shared" si="615"/>
        <v>0</v>
      </c>
      <c r="CC194" s="19">
        <f t="shared" si="380"/>
        <v>0</v>
      </c>
      <c r="CD194" s="19">
        <v>0</v>
      </c>
      <c r="CE194" s="19">
        <v>0</v>
      </c>
      <c r="CF194" s="19">
        <f t="shared" si="616"/>
        <v>0</v>
      </c>
      <c r="CG194" s="19">
        <v>0</v>
      </c>
      <c r="CH194" s="19">
        <v>0</v>
      </c>
      <c r="CI194" s="19">
        <v>0</v>
      </c>
      <c r="CJ194" s="19">
        <v>0</v>
      </c>
      <c r="CK194" s="19">
        <v>0</v>
      </c>
      <c r="CL194" s="19">
        <f t="shared" si="617"/>
        <v>0</v>
      </c>
      <c r="CM194" s="19">
        <v>0</v>
      </c>
      <c r="CN194" s="19">
        <v>0</v>
      </c>
      <c r="CO194" s="19">
        <v>0</v>
      </c>
      <c r="CP194" s="19"/>
      <c r="CQ194" s="19"/>
      <c r="CR194" s="19"/>
      <c r="CS194" s="19"/>
      <c r="CT194" s="19">
        <v>0</v>
      </c>
      <c r="CU194" s="19"/>
      <c r="CV194" s="19"/>
      <c r="CW194" s="19"/>
      <c r="CX194" s="19">
        <f t="shared" si="382"/>
        <v>0</v>
      </c>
      <c r="CY194" s="19">
        <f t="shared" si="383"/>
        <v>0</v>
      </c>
      <c r="CZ194" s="19">
        <v>0</v>
      </c>
      <c r="DA194" s="20">
        <v>0</v>
      </c>
    </row>
    <row r="195" spans="1:106" ht="31.5" x14ac:dyDescent="0.25">
      <c r="A195" s="72" t="s">
        <v>1</v>
      </c>
      <c r="B195" s="21" t="s">
        <v>82</v>
      </c>
      <c r="C195" s="22" t="s">
        <v>293</v>
      </c>
      <c r="D195" s="18">
        <f t="shared" si="605"/>
        <v>6143289</v>
      </c>
      <c r="E195" s="19">
        <f t="shared" si="606"/>
        <v>6143289</v>
      </c>
      <c r="F195" s="19">
        <f t="shared" si="607"/>
        <v>0</v>
      </c>
      <c r="G195" s="23">
        <v>0</v>
      </c>
      <c r="H195" s="23">
        <v>0</v>
      </c>
      <c r="I195" s="19">
        <f>SUM(J195:O195)</f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19">
        <f>SUM(Q195:R195)</f>
        <v>0</v>
      </c>
      <c r="Q195" s="23">
        <v>0</v>
      </c>
      <c r="R195" s="23">
        <v>0</v>
      </c>
      <c r="S195" s="23">
        <v>0</v>
      </c>
      <c r="T195" s="23">
        <v>0</v>
      </c>
      <c r="U195" s="19">
        <f t="shared" si="608"/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f t="shared" si="609"/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>
        <v>0</v>
      </c>
      <c r="AQ195" s="19"/>
      <c r="AR195" s="19">
        <v>0</v>
      </c>
      <c r="AS195" s="19">
        <v>0</v>
      </c>
      <c r="AT195" s="19">
        <v>0</v>
      </c>
      <c r="AU195" s="19">
        <v>0</v>
      </c>
      <c r="AV195" s="19">
        <v>0</v>
      </c>
      <c r="AW195" s="19">
        <v>0</v>
      </c>
      <c r="AX195" s="23">
        <v>0</v>
      </c>
      <c r="AY195" s="23">
        <v>0</v>
      </c>
      <c r="AZ195" s="23">
        <v>0</v>
      </c>
      <c r="BA195" s="23">
        <v>0</v>
      </c>
      <c r="BB195" s="19">
        <f t="shared" si="610"/>
        <v>6143289</v>
      </c>
      <c r="BC195" s="19">
        <f t="shared" si="611"/>
        <v>0</v>
      </c>
      <c r="BD195" s="19">
        <v>0</v>
      </c>
      <c r="BE195" s="19">
        <v>0</v>
      </c>
      <c r="BF195" s="19">
        <v>0</v>
      </c>
      <c r="BG195" s="19">
        <f t="shared" si="612"/>
        <v>0</v>
      </c>
      <c r="BH195" s="19">
        <v>0</v>
      </c>
      <c r="BI195" s="19">
        <v>0</v>
      </c>
      <c r="BJ195" s="19">
        <v>0</v>
      </c>
      <c r="BK195" s="19">
        <v>0</v>
      </c>
      <c r="BL195" s="19">
        <f>SUM(BM195)</f>
        <v>0</v>
      </c>
      <c r="BM195" s="19">
        <v>0</v>
      </c>
      <c r="BN195" s="19">
        <v>0</v>
      </c>
      <c r="BO195" s="19">
        <f t="shared" si="613"/>
        <v>6143289</v>
      </c>
      <c r="BP195" s="19">
        <v>0</v>
      </c>
      <c r="BQ195" s="19">
        <v>0</v>
      </c>
      <c r="BR195" s="19">
        <v>0</v>
      </c>
      <c r="BS195" s="19">
        <v>0</v>
      </c>
      <c r="BT195" s="19">
        <v>0</v>
      </c>
      <c r="BU195" s="19">
        <v>0</v>
      </c>
      <c r="BV195" s="19">
        <v>0</v>
      </c>
      <c r="BW195" s="19">
        <v>0</v>
      </c>
      <c r="BX195" s="23">
        <v>0</v>
      </c>
      <c r="BY195" s="23">
        <f>5614145+529144</f>
        <v>6143289</v>
      </c>
      <c r="BZ195" s="23">
        <v>0</v>
      </c>
      <c r="CA195" s="19">
        <f t="shared" si="614"/>
        <v>0</v>
      </c>
      <c r="CB195" s="19">
        <f t="shared" si="615"/>
        <v>0</v>
      </c>
      <c r="CC195" s="19">
        <f>SUM(CD195:CE195)</f>
        <v>0</v>
      </c>
      <c r="CD195" s="19">
        <v>0</v>
      </c>
      <c r="CE195" s="19">
        <v>0</v>
      </c>
      <c r="CF195" s="19">
        <f t="shared" si="616"/>
        <v>0</v>
      </c>
      <c r="CG195" s="19">
        <v>0</v>
      </c>
      <c r="CH195" s="19">
        <v>0</v>
      </c>
      <c r="CI195" s="19">
        <v>0</v>
      </c>
      <c r="CJ195" s="19">
        <v>0</v>
      </c>
      <c r="CK195" s="19">
        <v>0</v>
      </c>
      <c r="CL195" s="19">
        <f t="shared" si="617"/>
        <v>0</v>
      </c>
      <c r="CM195" s="19">
        <v>0</v>
      </c>
      <c r="CN195" s="19">
        <v>0</v>
      </c>
      <c r="CO195" s="19">
        <v>0</v>
      </c>
      <c r="CP195" s="19"/>
      <c r="CQ195" s="19"/>
      <c r="CR195" s="19"/>
      <c r="CS195" s="19"/>
      <c r="CT195" s="19">
        <v>0</v>
      </c>
      <c r="CU195" s="19"/>
      <c r="CV195" s="19"/>
      <c r="CW195" s="19"/>
      <c r="CX195" s="19">
        <f>SUM(CY195)</f>
        <v>0</v>
      </c>
      <c r="CY195" s="19">
        <f>SUM(CZ195:DA195)</f>
        <v>0</v>
      </c>
      <c r="CZ195" s="19">
        <v>0</v>
      </c>
      <c r="DA195" s="20">
        <v>0</v>
      </c>
    </row>
    <row r="196" spans="1:106" ht="15.75" x14ac:dyDescent="0.25">
      <c r="A196" s="72" t="s">
        <v>1</v>
      </c>
      <c r="B196" s="21" t="s">
        <v>82</v>
      </c>
      <c r="C196" s="22" t="s">
        <v>294</v>
      </c>
      <c r="D196" s="18">
        <f t="shared" si="605"/>
        <v>331563</v>
      </c>
      <c r="E196" s="19">
        <f t="shared" si="606"/>
        <v>331563</v>
      </c>
      <c r="F196" s="19">
        <f t="shared" si="607"/>
        <v>0</v>
      </c>
      <c r="G196" s="23">
        <v>0</v>
      </c>
      <c r="H196" s="23">
        <v>0</v>
      </c>
      <c r="I196" s="19">
        <f>SUM(J196:O196)</f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19">
        <f>SUM(Q196:R196)</f>
        <v>0</v>
      </c>
      <c r="Q196" s="23">
        <v>0</v>
      </c>
      <c r="R196" s="23">
        <v>0</v>
      </c>
      <c r="S196" s="23">
        <v>0</v>
      </c>
      <c r="T196" s="23">
        <v>0</v>
      </c>
      <c r="U196" s="19">
        <f t="shared" si="608"/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f t="shared" si="609"/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/>
      <c r="AR196" s="19">
        <v>0</v>
      </c>
      <c r="AS196" s="19">
        <v>0</v>
      </c>
      <c r="AT196" s="19">
        <v>0</v>
      </c>
      <c r="AU196" s="19">
        <v>0</v>
      </c>
      <c r="AV196" s="19">
        <v>0</v>
      </c>
      <c r="AW196" s="19">
        <v>0</v>
      </c>
      <c r="AX196" s="23">
        <v>0</v>
      </c>
      <c r="AY196" s="23">
        <v>0</v>
      </c>
      <c r="AZ196" s="23">
        <v>0</v>
      </c>
      <c r="BA196" s="23">
        <v>0</v>
      </c>
      <c r="BB196" s="19">
        <f t="shared" si="610"/>
        <v>331563</v>
      </c>
      <c r="BC196" s="19">
        <f t="shared" si="611"/>
        <v>0</v>
      </c>
      <c r="BD196" s="19">
        <v>0</v>
      </c>
      <c r="BE196" s="19">
        <v>0</v>
      </c>
      <c r="BF196" s="19">
        <v>0</v>
      </c>
      <c r="BG196" s="19">
        <f t="shared" si="612"/>
        <v>0</v>
      </c>
      <c r="BH196" s="19">
        <v>0</v>
      </c>
      <c r="BI196" s="19">
        <v>0</v>
      </c>
      <c r="BJ196" s="19">
        <v>0</v>
      </c>
      <c r="BK196" s="19">
        <v>0</v>
      </c>
      <c r="BL196" s="19">
        <f>SUM(BM196)</f>
        <v>0</v>
      </c>
      <c r="BM196" s="19">
        <v>0</v>
      </c>
      <c r="BN196" s="19">
        <v>0</v>
      </c>
      <c r="BO196" s="19">
        <f t="shared" si="613"/>
        <v>331563</v>
      </c>
      <c r="BP196" s="19">
        <v>0</v>
      </c>
      <c r="BQ196" s="19">
        <v>0</v>
      </c>
      <c r="BR196" s="19">
        <v>0</v>
      </c>
      <c r="BS196" s="19">
        <v>0</v>
      </c>
      <c r="BT196" s="19">
        <v>0</v>
      </c>
      <c r="BU196" s="19">
        <v>0</v>
      </c>
      <c r="BV196" s="19">
        <v>0</v>
      </c>
      <c r="BW196" s="19">
        <v>0</v>
      </c>
      <c r="BX196" s="23">
        <v>0</v>
      </c>
      <c r="BY196" s="23">
        <v>0</v>
      </c>
      <c r="BZ196" s="23">
        <v>331563</v>
      </c>
      <c r="CA196" s="19">
        <f t="shared" si="614"/>
        <v>0</v>
      </c>
      <c r="CB196" s="19">
        <f t="shared" si="615"/>
        <v>0</v>
      </c>
      <c r="CC196" s="19">
        <f>SUM(CD196:CE196)</f>
        <v>0</v>
      </c>
      <c r="CD196" s="19">
        <v>0</v>
      </c>
      <c r="CE196" s="19">
        <v>0</v>
      </c>
      <c r="CF196" s="19">
        <f t="shared" si="616"/>
        <v>0</v>
      </c>
      <c r="CG196" s="19">
        <v>0</v>
      </c>
      <c r="CH196" s="19">
        <v>0</v>
      </c>
      <c r="CI196" s="19">
        <v>0</v>
      </c>
      <c r="CJ196" s="19">
        <v>0</v>
      </c>
      <c r="CK196" s="19">
        <v>0</v>
      </c>
      <c r="CL196" s="19">
        <f t="shared" si="617"/>
        <v>0</v>
      </c>
      <c r="CM196" s="19">
        <v>0</v>
      </c>
      <c r="CN196" s="19">
        <v>0</v>
      </c>
      <c r="CO196" s="19">
        <v>0</v>
      </c>
      <c r="CP196" s="19"/>
      <c r="CQ196" s="19"/>
      <c r="CR196" s="19"/>
      <c r="CS196" s="19"/>
      <c r="CT196" s="19">
        <v>0</v>
      </c>
      <c r="CU196" s="19"/>
      <c r="CV196" s="19"/>
      <c r="CW196" s="19"/>
      <c r="CX196" s="19">
        <f>SUM(CY196)</f>
        <v>0</v>
      </c>
      <c r="CY196" s="19">
        <f>SUM(CZ196:DA196)</f>
        <v>0</v>
      </c>
      <c r="CZ196" s="19">
        <v>0</v>
      </c>
      <c r="DA196" s="20">
        <v>0</v>
      </c>
    </row>
    <row r="197" spans="1:106" ht="15.75" x14ac:dyDescent="0.25">
      <c r="A197" s="72" t="s">
        <v>1</v>
      </c>
      <c r="B197" s="21" t="s">
        <v>179</v>
      </c>
      <c r="C197" s="22" t="s">
        <v>634</v>
      </c>
      <c r="D197" s="18">
        <f t="shared" si="605"/>
        <v>873488</v>
      </c>
      <c r="E197" s="19">
        <f t="shared" si="606"/>
        <v>873488</v>
      </c>
      <c r="F197" s="19">
        <f t="shared" si="607"/>
        <v>873488</v>
      </c>
      <c r="G197" s="23">
        <f>840121-70</f>
        <v>840051</v>
      </c>
      <c r="H197" s="23">
        <v>0</v>
      </c>
      <c r="I197" s="19">
        <f t="shared" ref="I197" si="618">SUM(J197:O197)</f>
        <v>10000</v>
      </c>
      <c r="J197" s="23">
        <v>0</v>
      </c>
      <c r="K197" s="23">
        <v>10000</v>
      </c>
      <c r="L197" s="23">
        <v>0</v>
      </c>
      <c r="M197" s="23">
        <v>0</v>
      </c>
      <c r="N197" s="23">
        <v>0</v>
      </c>
      <c r="O197" s="23">
        <v>0</v>
      </c>
      <c r="P197" s="19">
        <f t="shared" ref="P197" si="619">SUM(Q197:R197)</f>
        <v>0</v>
      </c>
      <c r="Q197" s="23">
        <v>0</v>
      </c>
      <c r="R197" s="23">
        <v>0</v>
      </c>
      <c r="S197" s="23">
        <v>0</v>
      </c>
      <c r="T197" s="23">
        <v>0</v>
      </c>
      <c r="U197" s="19">
        <f t="shared" si="608"/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f t="shared" si="609"/>
        <v>23437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/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19">
        <v>0</v>
      </c>
      <c r="AX197" s="23">
        <f>23367+70</f>
        <v>23437</v>
      </c>
      <c r="AY197" s="23">
        <v>0</v>
      </c>
      <c r="AZ197" s="23">
        <v>0</v>
      </c>
      <c r="BA197" s="23">
        <v>0</v>
      </c>
      <c r="BB197" s="19">
        <f t="shared" si="610"/>
        <v>0</v>
      </c>
      <c r="BC197" s="19">
        <f t="shared" si="611"/>
        <v>0</v>
      </c>
      <c r="BD197" s="19">
        <v>0</v>
      </c>
      <c r="BE197" s="19">
        <v>0</v>
      </c>
      <c r="BF197" s="19">
        <v>0</v>
      </c>
      <c r="BG197" s="19">
        <f t="shared" si="612"/>
        <v>0</v>
      </c>
      <c r="BH197" s="19">
        <v>0</v>
      </c>
      <c r="BI197" s="19">
        <v>0</v>
      </c>
      <c r="BJ197" s="19">
        <v>0</v>
      </c>
      <c r="BK197" s="19">
        <v>0</v>
      </c>
      <c r="BL197" s="19">
        <f t="shared" ref="BL197" si="620">SUM(BM197)</f>
        <v>0</v>
      </c>
      <c r="BM197" s="19">
        <v>0</v>
      </c>
      <c r="BN197" s="19">
        <v>0</v>
      </c>
      <c r="BO197" s="19">
        <f t="shared" si="613"/>
        <v>0</v>
      </c>
      <c r="BP197" s="19">
        <v>0</v>
      </c>
      <c r="BQ197" s="19">
        <v>0</v>
      </c>
      <c r="BR197" s="19">
        <v>0</v>
      </c>
      <c r="BS197" s="19">
        <v>0</v>
      </c>
      <c r="BT197" s="19">
        <v>0</v>
      </c>
      <c r="BU197" s="19">
        <v>0</v>
      </c>
      <c r="BV197" s="19">
        <v>0</v>
      </c>
      <c r="BW197" s="19">
        <v>0</v>
      </c>
      <c r="BX197" s="23">
        <v>0</v>
      </c>
      <c r="BY197" s="23">
        <v>0</v>
      </c>
      <c r="BZ197" s="23">
        <v>0</v>
      </c>
      <c r="CA197" s="19">
        <f t="shared" si="614"/>
        <v>0</v>
      </c>
      <c r="CB197" s="19">
        <f t="shared" si="615"/>
        <v>0</v>
      </c>
      <c r="CC197" s="19">
        <f t="shared" ref="CC197" si="621">SUM(CD197:CE197)</f>
        <v>0</v>
      </c>
      <c r="CD197" s="19">
        <v>0</v>
      </c>
      <c r="CE197" s="19"/>
      <c r="CF197" s="19">
        <f t="shared" si="616"/>
        <v>0</v>
      </c>
      <c r="CG197" s="19">
        <v>0</v>
      </c>
      <c r="CH197" s="19">
        <v>0</v>
      </c>
      <c r="CI197" s="19">
        <v>0</v>
      </c>
      <c r="CJ197" s="19">
        <v>0</v>
      </c>
      <c r="CK197" s="19">
        <v>0</v>
      </c>
      <c r="CL197" s="19">
        <f t="shared" si="617"/>
        <v>0</v>
      </c>
      <c r="CM197" s="19">
        <v>0</v>
      </c>
      <c r="CN197" s="19">
        <v>0</v>
      </c>
      <c r="CO197" s="19">
        <v>0</v>
      </c>
      <c r="CP197" s="19"/>
      <c r="CQ197" s="19"/>
      <c r="CR197" s="19"/>
      <c r="CS197" s="19"/>
      <c r="CT197" s="19">
        <v>0</v>
      </c>
      <c r="CU197" s="19"/>
      <c r="CV197" s="19"/>
      <c r="CW197" s="19"/>
      <c r="CX197" s="19">
        <f t="shared" ref="CX197" si="622">SUM(CY197)</f>
        <v>0</v>
      </c>
      <c r="CY197" s="19">
        <f t="shared" ref="CY197" si="623">SUM(CZ197:DA197)</f>
        <v>0</v>
      </c>
      <c r="CZ197" s="19">
        <v>0</v>
      </c>
      <c r="DA197" s="20">
        <v>0</v>
      </c>
    </row>
    <row r="198" spans="1:106" s="86" customFormat="1" ht="31.5" x14ac:dyDescent="0.25">
      <c r="A198" s="71" t="s">
        <v>296</v>
      </c>
      <c r="B198" s="16" t="s">
        <v>1</v>
      </c>
      <c r="C198" s="17" t="s">
        <v>361</v>
      </c>
      <c r="D198" s="18">
        <f t="shared" ref="D198:AT198" si="624">SUM(D199:D208)</f>
        <v>114296960</v>
      </c>
      <c r="E198" s="18">
        <f t="shared" si="624"/>
        <v>114296960</v>
      </c>
      <c r="F198" s="18">
        <f t="shared" si="624"/>
        <v>114296960</v>
      </c>
      <c r="G198" s="18">
        <f t="shared" si="624"/>
        <v>0</v>
      </c>
      <c r="H198" s="18">
        <f t="shared" si="624"/>
        <v>0</v>
      </c>
      <c r="I198" s="18">
        <f t="shared" si="624"/>
        <v>0</v>
      </c>
      <c r="J198" s="18">
        <f t="shared" si="624"/>
        <v>0</v>
      </c>
      <c r="K198" s="18">
        <f t="shared" si="624"/>
        <v>0</v>
      </c>
      <c r="L198" s="18">
        <f t="shared" si="624"/>
        <v>0</v>
      </c>
      <c r="M198" s="18">
        <f t="shared" si="624"/>
        <v>0</v>
      </c>
      <c r="N198" s="18">
        <f t="shared" si="624"/>
        <v>0</v>
      </c>
      <c r="O198" s="18">
        <f t="shared" si="624"/>
        <v>0</v>
      </c>
      <c r="P198" s="18">
        <f t="shared" si="624"/>
        <v>0</v>
      </c>
      <c r="Q198" s="18">
        <f t="shared" si="624"/>
        <v>0</v>
      </c>
      <c r="R198" s="18">
        <f t="shared" si="624"/>
        <v>0</v>
      </c>
      <c r="S198" s="18">
        <f t="shared" si="624"/>
        <v>0</v>
      </c>
      <c r="T198" s="18">
        <f t="shared" si="624"/>
        <v>0</v>
      </c>
      <c r="U198" s="18">
        <f t="shared" si="624"/>
        <v>114296960</v>
      </c>
      <c r="V198" s="18">
        <f t="shared" si="624"/>
        <v>0</v>
      </c>
      <c r="W198" s="18">
        <f t="shared" si="624"/>
        <v>0</v>
      </c>
      <c r="X198" s="18">
        <f t="shared" si="624"/>
        <v>0</v>
      </c>
      <c r="Y198" s="18">
        <f t="shared" si="624"/>
        <v>0</v>
      </c>
      <c r="Z198" s="18">
        <f t="shared" si="624"/>
        <v>0</v>
      </c>
      <c r="AA198" s="18">
        <f t="shared" si="624"/>
        <v>0</v>
      </c>
      <c r="AB198" s="18">
        <f t="shared" si="624"/>
        <v>114296960</v>
      </c>
      <c r="AC198" s="18">
        <f t="shared" si="624"/>
        <v>0</v>
      </c>
      <c r="AD198" s="18">
        <f t="shared" ref="AD198" si="625">SUM(AD199:AD208)</f>
        <v>0</v>
      </c>
      <c r="AE198" s="18">
        <f t="shared" si="624"/>
        <v>0</v>
      </c>
      <c r="AF198" s="18">
        <f t="shared" si="624"/>
        <v>0</v>
      </c>
      <c r="AG198" s="18">
        <f t="shared" si="624"/>
        <v>0</v>
      </c>
      <c r="AH198" s="18">
        <f t="shared" si="624"/>
        <v>0</v>
      </c>
      <c r="AI198" s="18">
        <f t="shared" si="624"/>
        <v>0</v>
      </c>
      <c r="AJ198" s="18">
        <f t="shared" si="624"/>
        <v>0</v>
      </c>
      <c r="AK198" s="18">
        <f t="shared" si="624"/>
        <v>0</v>
      </c>
      <c r="AL198" s="18">
        <f t="shared" si="624"/>
        <v>0</v>
      </c>
      <c r="AM198" s="18">
        <f t="shared" si="624"/>
        <v>0</v>
      </c>
      <c r="AN198" s="18">
        <f t="shared" si="624"/>
        <v>0</v>
      </c>
      <c r="AO198" s="18">
        <f t="shared" si="624"/>
        <v>0</v>
      </c>
      <c r="AP198" s="18">
        <f t="shared" si="624"/>
        <v>0</v>
      </c>
      <c r="AQ198" s="18"/>
      <c r="AR198" s="18">
        <f t="shared" si="624"/>
        <v>0</v>
      </c>
      <c r="AS198" s="18">
        <f t="shared" si="624"/>
        <v>0</v>
      </c>
      <c r="AT198" s="18">
        <f t="shared" si="624"/>
        <v>0</v>
      </c>
      <c r="AU198" s="18"/>
      <c r="AV198" s="18"/>
      <c r="AW198" s="18">
        <f>SUM(AW199:AW208)</f>
        <v>0</v>
      </c>
      <c r="AX198" s="18">
        <f>SUM(AX199:AX208)</f>
        <v>0</v>
      </c>
      <c r="AY198" s="18">
        <f>SUM(AY199:AY208)</f>
        <v>0</v>
      </c>
      <c r="AZ198" s="18"/>
      <c r="BA198" s="18">
        <f t="shared" ref="BA198:CO198" si="626">SUM(BA199:BA208)</f>
        <v>0</v>
      </c>
      <c r="BB198" s="18">
        <f t="shared" si="626"/>
        <v>0</v>
      </c>
      <c r="BC198" s="18">
        <f t="shared" si="626"/>
        <v>0</v>
      </c>
      <c r="BD198" s="18">
        <f t="shared" si="626"/>
        <v>0</v>
      </c>
      <c r="BE198" s="18">
        <f t="shared" si="626"/>
        <v>0</v>
      </c>
      <c r="BF198" s="18">
        <f t="shared" si="626"/>
        <v>0</v>
      </c>
      <c r="BG198" s="18">
        <f t="shared" si="626"/>
        <v>0</v>
      </c>
      <c r="BH198" s="18">
        <f t="shared" si="626"/>
        <v>0</v>
      </c>
      <c r="BI198" s="18">
        <f t="shared" si="626"/>
        <v>0</v>
      </c>
      <c r="BJ198" s="18">
        <f t="shared" si="626"/>
        <v>0</v>
      </c>
      <c r="BK198" s="18">
        <f t="shared" ref="BK198" si="627">SUM(BK199:BK208)</f>
        <v>0</v>
      </c>
      <c r="BL198" s="18">
        <f t="shared" si="626"/>
        <v>0</v>
      </c>
      <c r="BM198" s="18">
        <f t="shared" si="626"/>
        <v>0</v>
      </c>
      <c r="BN198" s="18">
        <f t="shared" si="626"/>
        <v>0</v>
      </c>
      <c r="BO198" s="18">
        <f t="shared" si="626"/>
        <v>0</v>
      </c>
      <c r="BP198" s="18">
        <f t="shared" si="626"/>
        <v>0</v>
      </c>
      <c r="BQ198" s="18">
        <f t="shared" si="626"/>
        <v>0</v>
      </c>
      <c r="BR198" s="18">
        <f t="shared" si="626"/>
        <v>0</v>
      </c>
      <c r="BS198" s="18">
        <f t="shared" si="626"/>
        <v>0</v>
      </c>
      <c r="BT198" s="18">
        <f t="shared" si="626"/>
        <v>0</v>
      </c>
      <c r="BU198" s="18">
        <f t="shared" si="626"/>
        <v>0</v>
      </c>
      <c r="BV198" s="18">
        <f t="shared" si="626"/>
        <v>0</v>
      </c>
      <c r="BW198" s="18">
        <f t="shared" si="626"/>
        <v>0</v>
      </c>
      <c r="BX198" s="18">
        <f t="shared" si="626"/>
        <v>0</v>
      </c>
      <c r="BY198" s="18">
        <f t="shared" si="626"/>
        <v>0</v>
      </c>
      <c r="BZ198" s="18">
        <f t="shared" si="626"/>
        <v>0</v>
      </c>
      <c r="CA198" s="18">
        <f t="shared" si="626"/>
        <v>0</v>
      </c>
      <c r="CB198" s="18">
        <f t="shared" si="626"/>
        <v>0</v>
      </c>
      <c r="CC198" s="18">
        <f t="shared" si="626"/>
        <v>0</v>
      </c>
      <c r="CD198" s="18">
        <f t="shared" si="626"/>
        <v>0</v>
      </c>
      <c r="CE198" s="18">
        <f t="shared" si="626"/>
        <v>0</v>
      </c>
      <c r="CF198" s="18">
        <f t="shared" si="626"/>
        <v>0</v>
      </c>
      <c r="CG198" s="18">
        <f t="shared" si="626"/>
        <v>0</v>
      </c>
      <c r="CH198" s="18">
        <f t="shared" si="626"/>
        <v>0</v>
      </c>
      <c r="CI198" s="18">
        <f t="shared" si="626"/>
        <v>0</v>
      </c>
      <c r="CJ198" s="18">
        <f t="shared" si="626"/>
        <v>0</v>
      </c>
      <c r="CK198" s="18">
        <f t="shared" ref="CK198" si="628">SUM(CK199:CK208)</f>
        <v>0</v>
      </c>
      <c r="CL198" s="18">
        <f t="shared" si="626"/>
        <v>0</v>
      </c>
      <c r="CM198" s="18">
        <f t="shared" si="626"/>
        <v>0</v>
      </c>
      <c r="CN198" s="18">
        <f t="shared" si="626"/>
        <v>0</v>
      </c>
      <c r="CO198" s="18">
        <f t="shared" si="626"/>
        <v>0</v>
      </c>
      <c r="CP198" s="18"/>
      <c r="CQ198" s="18"/>
      <c r="CR198" s="18"/>
      <c r="CS198" s="18"/>
      <c r="CT198" s="18">
        <f t="shared" ref="CT198:DA198" si="629">SUM(CT199:CT208)</f>
        <v>0</v>
      </c>
      <c r="CU198" s="18"/>
      <c r="CV198" s="18"/>
      <c r="CW198" s="18"/>
      <c r="CX198" s="18">
        <f t="shared" si="629"/>
        <v>0</v>
      </c>
      <c r="CY198" s="18">
        <f t="shared" si="629"/>
        <v>0</v>
      </c>
      <c r="CZ198" s="18">
        <f t="shared" si="629"/>
        <v>0</v>
      </c>
      <c r="DA198" s="46">
        <f t="shared" si="629"/>
        <v>0</v>
      </c>
      <c r="DB198" s="85"/>
    </row>
    <row r="199" spans="1:106" ht="31.5" x14ac:dyDescent="0.25">
      <c r="A199" s="72" t="s">
        <v>1</v>
      </c>
      <c r="B199" s="34" t="s">
        <v>80</v>
      </c>
      <c r="C199" s="31" t="s">
        <v>362</v>
      </c>
      <c r="D199" s="18">
        <f t="shared" ref="D199:D208" si="630">SUM(E199+CA199+CX199)</f>
        <v>85393527</v>
      </c>
      <c r="E199" s="19">
        <f t="shared" ref="E199:E208" si="631">SUM(F199+BB199)</f>
        <v>85393527</v>
      </c>
      <c r="F199" s="19">
        <f t="shared" ref="F199:F208" si="632">SUM(G199+H199+I199+P199+S199+T199+U199+AE199)</f>
        <v>85393527</v>
      </c>
      <c r="G199" s="19">
        <v>0</v>
      </c>
      <c r="H199" s="19">
        <v>0</v>
      </c>
      <c r="I199" s="19">
        <f t="shared" ref="I199:I208" si="633">SUM(J199:O199)</f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f t="shared" ref="P199:P208" si="634">SUM(Q199:R199)</f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f t="shared" ref="U199:U208" si="635">SUM(V199:AC199)</f>
        <v>85393527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23">
        <v>85393527</v>
      </c>
      <c r="AC199" s="19">
        <v>0</v>
      </c>
      <c r="AD199" s="19">
        <v>0</v>
      </c>
      <c r="AE199" s="19">
        <f t="shared" ref="AE199:AE208" si="636">SUM(AF199:BA199)</f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/>
      <c r="AR199" s="19">
        <v>0</v>
      </c>
      <c r="AS199" s="19">
        <v>0</v>
      </c>
      <c r="AT199" s="19">
        <v>0</v>
      </c>
      <c r="AU199" s="19"/>
      <c r="AV199" s="19"/>
      <c r="AW199" s="19">
        <v>0</v>
      </c>
      <c r="AX199" s="19">
        <v>0</v>
      </c>
      <c r="AY199" s="19">
        <v>0</v>
      </c>
      <c r="AZ199" s="19"/>
      <c r="BA199" s="19">
        <v>0</v>
      </c>
      <c r="BB199" s="19">
        <f t="shared" ref="BB199:BB208" si="637">SUM(BC199+BG199+BJ199+BL199+BO199)</f>
        <v>0</v>
      </c>
      <c r="BC199" s="19">
        <f t="shared" ref="BC199:BC208" si="638">SUM(BD199:BF199)</f>
        <v>0</v>
      </c>
      <c r="BD199" s="19">
        <v>0</v>
      </c>
      <c r="BE199" s="19">
        <v>0</v>
      </c>
      <c r="BF199" s="19">
        <v>0</v>
      </c>
      <c r="BG199" s="19">
        <f t="shared" ref="BG199:BG208" si="639">SUM(BI199:BI199)</f>
        <v>0</v>
      </c>
      <c r="BH199" s="19">
        <v>0</v>
      </c>
      <c r="BI199" s="19">
        <v>0</v>
      </c>
      <c r="BJ199" s="19">
        <v>0</v>
      </c>
      <c r="BK199" s="19">
        <v>0</v>
      </c>
      <c r="BL199" s="19">
        <f t="shared" ref="BL199:BL208" si="640">SUM(BM199)</f>
        <v>0</v>
      </c>
      <c r="BM199" s="19">
        <v>0</v>
      </c>
      <c r="BN199" s="19">
        <v>0</v>
      </c>
      <c r="BO199" s="19">
        <f t="shared" ref="BO199:BO208" si="641">SUM(BP199:BZ199)</f>
        <v>0</v>
      </c>
      <c r="BP199" s="19">
        <v>0</v>
      </c>
      <c r="BQ199" s="19">
        <v>0</v>
      </c>
      <c r="BR199" s="19">
        <v>0</v>
      </c>
      <c r="BS199" s="19">
        <v>0</v>
      </c>
      <c r="BT199" s="19">
        <v>0</v>
      </c>
      <c r="BU199" s="19">
        <v>0</v>
      </c>
      <c r="BV199" s="19">
        <v>0</v>
      </c>
      <c r="BW199" s="19">
        <v>0</v>
      </c>
      <c r="BX199" s="19">
        <v>0</v>
      </c>
      <c r="BY199" s="19">
        <v>0</v>
      </c>
      <c r="BZ199" s="19">
        <v>0</v>
      </c>
      <c r="CA199" s="19">
        <f t="shared" ref="CA199:CA208" si="642">SUM(CB199+CT199)</f>
        <v>0</v>
      </c>
      <c r="CB199" s="19">
        <f t="shared" ref="CB199:CB208" si="643">SUM(CC199+CF199+CL199)</f>
        <v>0</v>
      </c>
      <c r="CC199" s="19">
        <f t="shared" ref="CC199:CC208" si="644">SUM(CD199:CE199)</f>
        <v>0</v>
      </c>
      <c r="CD199" s="19">
        <v>0</v>
      </c>
      <c r="CE199" s="19">
        <v>0</v>
      </c>
      <c r="CF199" s="19">
        <f t="shared" ref="CF199:CF208" si="645">SUM(CG199:CK199)</f>
        <v>0</v>
      </c>
      <c r="CG199" s="19">
        <v>0</v>
      </c>
      <c r="CH199" s="19">
        <v>0</v>
      </c>
      <c r="CI199" s="19">
        <v>0</v>
      </c>
      <c r="CJ199" s="19">
        <v>0</v>
      </c>
      <c r="CK199" s="19">
        <v>0</v>
      </c>
      <c r="CL199" s="19">
        <f t="shared" ref="CL199:CL208" si="646">SUM(CM199:CQ199)</f>
        <v>0</v>
      </c>
      <c r="CM199" s="19">
        <v>0</v>
      </c>
      <c r="CN199" s="19">
        <v>0</v>
      </c>
      <c r="CO199" s="19">
        <v>0</v>
      </c>
      <c r="CP199" s="19"/>
      <c r="CQ199" s="19"/>
      <c r="CR199" s="19"/>
      <c r="CS199" s="19"/>
      <c r="CT199" s="19">
        <v>0</v>
      </c>
      <c r="CU199" s="19"/>
      <c r="CV199" s="19"/>
      <c r="CW199" s="19"/>
      <c r="CX199" s="19">
        <f t="shared" ref="CX199:CX208" si="647">SUM(CY199)</f>
        <v>0</v>
      </c>
      <c r="CY199" s="19">
        <f t="shared" ref="CY199:CY208" si="648">SUM(CZ199:DA199)</f>
        <v>0</v>
      </c>
      <c r="CZ199" s="19">
        <v>0</v>
      </c>
      <c r="DA199" s="20">
        <v>0</v>
      </c>
    </row>
    <row r="200" spans="1:106" ht="15.75" x14ac:dyDescent="0.25">
      <c r="A200" s="72" t="s">
        <v>1</v>
      </c>
      <c r="B200" s="34" t="s">
        <v>297</v>
      </c>
      <c r="C200" s="31" t="s">
        <v>363</v>
      </c>
      <c r="D200" s="18">
        <f t="shared" si="630"/>
        <v>16019050</v>
      </c>
      <c r="E200" s="19">
        <f t="shared" si="631"/>
        <v>16019050</v>
      </c>
      <c r="F200" s="19">
        <f t="shared" si="632"/>
        <v>16019050</v>
      </c>
      <c r="G200" s="19">
        <v>0</v>
      </c>
      <c r="H200" s="19">
        <v>0</v>
      </c>
      <c r="I200" s="19">
        <f t="shared" si="633"/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f t="shared" si="634"/>
        <v>0</v>
      </c>
      <c r="Q200" s="19">
        <v>0</v>
      </c>
      <c r="R200" s="19">
        <v>0</v>
      </c>
      <c r="S200" s="19">
        <v>0</v>
      </c>
      <c r="T200" s="19">
        <v>0</v>
      </c>
      <c r="U200" s="19">
        <f t="shared" si="635"/>
        <v>16019050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23">
        <v>16019050</v>
      </c>
      <c r="AC200" s="19">
        <v>0</v>
      </c>
      <c r="AD200" s="19">
        <v>0</v>
      </c>
      <c r="AE200" s="19">
        <f t="shared" si="636"/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/>
      <c r="AR200" s="19">
        <v>0</v>
      </c>
      <c r="AS200" s="19">
        <v>0</v>
      </c>
      <c r="AT200" s="19">
        <v>0</v>
      </c>
      <c r="AU200" s="19"/>
      <c r="AV200" s="19"/>
      <c r="AW200" s="19">
        <v>0</v>
      </c>
      <c r="AX200" s="19">
        <v>0</v>
      </c>
      <c r="AY200" s="19">
        <v>0</v>
      </c>
      <c r="AZ200" s="19"/>
      <c r="BA200" s="19">
        <v>0</v>
      </c>
      <c r="BB200" s="19">
        <f t="shared" si="637"/>
        <v>0</v>
      </c>
      <c r="BC200" s="19">
        <f t="shared" si="638"/>
        <v>0</v>
      </c>
      <c r="BD200" s="19">
        <v>0</v>
      </c>
      <c r="BE200" s="19">
        <v>0</v>
      </c>
      <c r="BF200" s="19">
        <v>0</v>
      </c>
      <c r="BG200" s="19">
        <f t="shared" si="639"/>
        <v>0</v>
      </c>
      <c r="BH200" s="19">
        <v>0</v>
      </c>
      <c r="BI200" s="19">
        <v>0</v>
      </c>
      <c r="BJ200" s="19">
        <v>0</v>
      </c>
      <c r="BK200" s="19">
        <v>0</v>
      </c>
      <c r="BL200" s="19">
        <f t="shared" si="640"/>
        <v>0</v>
      </c>
      <c r="BM200" s="19">
        <v>0</v>
      </c>
      <c r="BN200" s="19">
        <v>0</v>
      </c>
      <c r="BO200" s="19">
        <f t="shared" si="641"/>
        <v>0</v>
      </c>
      <c r="BP200" s="19">
        <v>0</v>
      </c>
      <c r="BQ200" s="19">
        <v>0</v>
      </c>
      <c r="BR200" s="19">
        <v>0</v>
      </c>
      <c r="BS200" s="19">
        <v>0</v>
      </c>
      <c r="BT200" s="19">
        <v>0</v>
      </c>
      <c r="BU200" s="19">
        <v>0</v>
      </c>
      <c r="BV200" s="19">
        <v>0</v>
      </c>
      <c r="BW200" s="19">
        <v>0</v>
      </c>
      <c r="BX200" s="19">
        <v>0</v>
      </c>
      <c r="BY200" s="19">
        <v>0</v>
      </c>
      <c r="BZ200" s="19">
        <v>0</v>
      </c>
      <c r="CA200" s="19">
        <f t="shared" si="642"/>
        <v>0</v>
      </c>
      <c r="CB200" s="19">
        <f t="shared" si="643"/>
        <v>0</v>
      </c>
      <c r="CC200" s="19">
        <f t="shared" si="644"/>
        <v>0</v>
      </c>
      <c r="CD200" s="19">
        <v>0</v>
      </c>
      <c r="CE200" s="19">
        <v>0</v>
      </c>
      <c r="CF200" s="19">
        <f t="shared" si="645"/>
        <v>0</v>
      </c>
      <c r="CG200" s="19">
        <v>0</v>
      </c>
      <c r="CH200" s="19">
        <v>0</v>
      </c>
      <c r="CI200" s="19">
        <v>0</v>
      </c>
      <c r="CJ200" s="19">
        <v>0</v>
      </c>
      <c r="CK200" s="19">
        <v>0</v>
      </c>
      <c r="CL200" s="19">
        <f t="shared" si="646"/>
        <v>0</v>
      </c>
      <c r="CM200" s="19">
        <v>0</v>
      </c>
      <c r="CN200" s="19">
        <v>0</v>
      </c>
      <c r="CO200" s="19">
        <v>0</v>
      </c>
      <c r="CP200" s="19"/>
      <c r="CQ200" s="19"/>
      <c r="CR200" s="19"/>
      <c r="CS200" s="19"/>
      <c r="CT200" s="19">
        <v>0</v>
      </c>
      <c r="CU200" s="19"/>
      <c r="CV200" s="19"/>
      <c r="CW200" s="19"/>
      <c r="CX200" s="19">
        <f t="shared" si="647"/>
        <v>0</v>
      </c>
      <c r="CY200" s="19">
        <f t="shared" si="648"/>
        <v>0</v>
      </c>
      <c r="CZ200" s="19">
        <v>0</v>
      </c>
      <c r="DA200" s="20">
        <v>0</v>
      </c>
    </row>
    <row r="201" spans="1:106" ht="15.75" x14ac:dyDescent="0.25">
      <c r="A201" s="72" t="s">
        <v>1</v>
      </c>
      <c r="B201" s="34" t="s">
        <v>297</v>
      </c>
      <c r="C201" s="31" t="s">
        <v>364</v>
      </c>
      <c r="D201" s="18">
        <f t="shared" si="630"/>
        <v>346076</v>
      </c>
      <c r="E201" s="19">
        <f t="shared" si="631"/>
        <v>346076</v>
      </c>
      <c r="F201" s="19">
        <f t="shared" si="632"/>
        <v>346076</v>
      </c>
      <c r="G201" s="19">
        <v>0</v>
      </c>
      <c r="H201" s="19">
        <v>0</v>
      </c>
      <c r="I201" s="19">
        <f t="shared" si="633"/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f t="shared" si="634"/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f t="shared" si="635"/>
        <v>346076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23">
        <v>346076</v>
      </c>
      <c r="AC201" s="19">
        <v>0</v>
      </c>
      <c r="AD201" s="19">
        <v>0</v>
      </c>
      <c r="AE201" s="19">
        <f t="shared" si="636"/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19"/>
      <c r="AR201" s="19">
        <v>0</v>
      </c>
      <c r="AS201" s="19">
        <v>0</v>
      </c>
      <c r="AT201" s="19">
        <v>0</v>
      </c>
      <c r="AU201" s="19"/>
      <c r="AV201" s="19"/>
      <c r="AW201" s="19">
        <v>0</v>
      </c>
      <c r="AX201" s="19">
        <v>0</v>
      </c>
      <c r="AY201" s="19">
        <v>0</v>
      </c>
      <c r="AZ201" s="19"/>
      <c r="BA201" s="19">
        <v>0</v>
      </c>
      <c r="BB201" s="19">
        <f t="shared" si="637"/>
        <v>0</v>
      </c>
      <c r="BC201" s="19">
        <f t="shared" si="638"/>
        <v>0</v>
      </c>
      <c r="BD201" s="19">
        <v>0</v>
      </c>
      <c r="BE201" s="19">
        <v>0</v>
      </c>
      <c r="BF201" s="19">
        <v>0</v>
      </c>
      <c r="BG201" s="19">
        <f t="shared" si="639"/>
        <v>0</v>
      </c>
      <c r="BH201" s="19">
        <v>0</v>
      </c>
      <c r="BI201" s="19">
        <v>0</v>
      </c>
      <c r="BJ201" s="19">
        <v>0</v>
      </c>
      <c r="BK201" s="19">
        <v>0</v>
      </c>
      <c r="BL201" s="19">
        <f t="shared" si="640"/>
        <v>0</v>
      </c>
      <c r="BM201" s="19">
        <v>0</v>
      </c>
      <c r="BN201" s="19">
        <v>0</v>
      </c>
      <c r="BO201" s="19">
        <f t="shared" si="641"/>
        <v>0</v>
      </c>
      <c r="BP201" s="19">
        <v>0</v>
      </c>
      <c r="BQ201" s="19">
        <v>0</v>
      </c>
      <c r="BR201" s="19">
        <v>0</v>
      </c>
      <c r="BS201" s="19">
        <v>0</v>
      </c>
      <c r="BT201" s="19">
        <v>0</v>
      </c>
      <c r="BU201" s="19">
        <v>0</v>
      </c>
      <c r="BV201" s="19">
        <v>0</v>
      </c>
      <c r="BW201" s="19">
        <v>0</v>
      </c>
      <c r="BX201" s="19">
        <v>0</v>
      </c>
      <c r="BY201" s="19">
        <v>0</v>
      </c>
      <c r="BZ201" s="19">
        <v>0</v>
      </c>
      <c r="CA201" s="19">
        <f t="shared" si="642"/>
        <v>0</v>
      </c>
      <c r="CB201" s="19">
        <f t="shared" si="643"/>
        <v>0</v>
      </c>
      <c r="CC201" s="19">
        <f t="shared" si="644"/>
        <v>0</v>
      </c>
      <c r="CD201" s="19">
        <v>0</v>
      </c>
      <c r="CE201" s="19">
        <v>0</v>
      </c>
      <c r="CF201" s="19">
        <f t="shared" si="645"/>
        <v>0</v>
      </c>
      <c r="CG201" s="19">
        <v>0</v>
      </c>
      <c r="CH201" s="19">
        <v>0</v>
      </c>
      <c r="CI201" s="19">
        <v>0</v>
      </c>
      <c r="CJ201" s="19">
        <v>0</v>
      </c>
      <c r="CK201" s="19">
        <v>0</v>
      </c>
      <c r="CL201" s="19">
        <f t="shared" si="646"/>
        <v>0</v>
      </c>
      <c r="CM201" s="19">
        <v>0</v>
      </c>
      <c r="CN201" s="19">
        <v>0</v>
      </c>
      <c r="CO201" s="19">
        <v>0</v>
      </c>
      <c r="CP201" s="19"/>
      <c r="CQ201" s="19"/>
      <c r="CR201" s="19"/>
      <c r="CS201" s="19"/>
      <c r="CT201" s="19">
        <v>0</v>
      </c>
      <c r="CU201" s="19"/>
      <c r="CV201" s="19"/>
      <c r="CW201" s="19"/>
      <c r="CX201" s="19">
        <f t="shared" si="647"/>
        <v>0</v>
      </c>
      <c r="CY201" s="19">
        <f t="shared" si="648"/>
        <v>0</v>
      </c>
      <c r="CZ201" s="19">
        <v>0</v>
      </c>
      <c r="DA201" s="20">
        <v>0</v>
      </c>
    </row>
    <row r="202" spans="1:106" ht="15.75" x14ac:dyDescent="0.25">
      <c r="A202" s="72" t="s">
        <v>1</v>
      </c>
      <c r="B202" s="34" t="s">
        <v>297</v>
      </c>
      <c r="C202" s="31" t="s">
        <v>365</v>
      </c>
      <c r="D202" s="18">
        <f t="shared" si="630"/>
        <v>200512</v>
      </c>
      <c r="E202" s="19">
        <f t="shared" si="631"/>
        <v>200512</v>
      </c>
      <c r="F202" s="19">
        <f t="shared" si="632"/>
        <v>200512</v>
      </c>
      <c r="G202" s="19">
        <v>0</v>
      </c>
      <c r="H202" s="19">
        <v>0</v>
      </c>
      <c r="I202" s="19">
        <f t="shared" si="633"/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f t="shared" si="634"/>
        <v>0</v>
      </c>
      <c r="Q202" s="19">
        <v>0</v>
      </c>
      <c r="R202" s="19">
        <v>0</v>
      </c>
      <c r="S202" s="19">
        <v>0</v>
      </c>
      <c r="T202" s="19">
        <v>0</v>
      </c>
      <c r="U202" s="19">
        <f t="shared" si="635"/>
        <v>200512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23">
        <v>200512</v>
      </c>
      <c r="AC202" s="19">
        <v>0</v>
      </c>
      <c r="AD202" s="19">
        <v>0</v>
      </c>
      <c r="AE202" s="19">
        <f t="shared" si="636"/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/>
      <c r="AR202" s="19">
        <v>0</v>
      </c>
      <c r="AS202" s="19">
        <v>0</v>
      </c>
      <c r="AT202" s="19">
        <v>0</v>
      </c>
      <c r="AU202" s="19"/>
      <c r="AV202" s="19"/>
      <c r="AW202" s="19">
        <v>0</v>
      </c>
      <c r="AX202" s="19">
        <v>0</v>
      </c>
      <c r="AY202" s="19">
        <v>0</v>
      </c>
      <c r="AZ202" s="19"/>
      <c r="BA202" s="19">
        <v>0</v>
      </c>
      <c r="BB202" s="19">
        <f t="shared" si="637"/>
        <v>0</v>
      </c>
      <c r="BC202" s="19">
        <f t="shared" si="638"/>
        <v>0</v>
      </c>
      <c r="BD202" s="19">
        <v>0</v>
      </c>
      <c r="BE202" s="19">
        <v>0</v>
      </c>
      <c r="BF202" s="19">
        <v>0</v>
      </c>
      <c r="BG202" s="19">
        <f t="shared" si="639"/>
        <v>0</v>
      </c>
      <c r="BH202" s="19">
        <v>0</v>
      </c>
      <c r="BI202" s="19">
        <v>0</v>
      </c>
      <c r="BJ202" s="19">
        <v>0</v>
      </c>
      <c r="BK202" s="19">
        <v>0</v>
      </c>
      <c r="BL202" s="19">
        <f t="shared" si="640"/>
        <v>0</v>
      </c>
      <c r="BM202" s="19">
        <v>0</v>
      </c>
      <c r="BN202" s="19">
        <v>0</v>
      </c>
      <c r="BO202" s="19">
        <f t="shared" si="641"/>
        <v>0</v>
      </c>
      <c r="BP202" s="19">
        <v>0</v>
      </c>
      <c r="BQ202" s="19">
        <v>0</v>
      </c>
      <c r="BR202" s="19">
        <v>0</v>
      </c>
      <c r="BS202" s="19">
        <v>0</v>
      </c>
      <c r="BT202" s="19">
        <v>0</v>
      </c>
      <c r="BU202" s="19">
        <v>0</v>
      </c>
      <c r="BV202" s="19">
        <v>0</v>
      </c>
      <c r="BW202" s="19">
        <v>0</v>
      </c>
      <c r="BX202" s="19">
        <v>0</v>
      </c>
      <c r="BY202" s="19">
        <v>0</v>
      </c>
      <c r="BZ202" s="19">
        <v>0</v>
      </c>
      <c r="CA202" s="19">
        <f t="shared" si="642"/>
        <v>0</v>
      </c>
      <c r="CB202" s="19">
        <f t="shared" si="643"/>
        <v>0</v>
      </c>
      <c r="CC202" s="19">
        <f t="shared" si="644"/>
        <v>0</v>
      </c>
      <c r="CD202" s="19">
        <v>0</v>
      </c>
      <c r="CE202" s="19">
        <v>0</v>
      </c>
      <c r="CF202" s="19">
        <f t="shared" si="645"/>
        <v>0</v>
      </c>
      <c r="CG202" s="19">
        <v>0</v>
      </c>
      <c r="CH202" s="19">
        <v>0</v>
      </c>
      <c r="CI202" s="19">
        <v>0</v>
      </c>
      <c r="CJ202" s="19">
        <v>0</v>
      </c>
      <c r="CK202" s="19">
        <v>0</v>
      </c>
      <c r="CL202" s="19">
        <f t="shared" si="646"/>
        <v>0</v>
      </c>
      <c r="CM202" s="19">
        <v>0</v>
      </c>
      <c r="CN202" s="19">
        <v>0</v>
      </c>
      <c r="CO202" s="19">
        <v>0</v>
      </c>
      <c r="CP202" s="19"/>
      <c r="CQ202" s="19"/>
      <c r="CR202" s="19"/>
      <c r="CS202" s="19"/>
      <c r="CT202" s="19">
        <v>0</v>
      </c>
      <c r="CU202" s="19"/>
      <c r="CV202" s="19"/>
      <c r="CW202" s="19"/>
      <c r="CX202" s="19">
        <f t="shared" si="647"/>
        <v>0</v>
      </c>
      <c r="CY202" s="19">
        <f t="shared" si="648"/>
        <v>0</v>
      </c>
      <c r="CZ202" s="19">
        <v>0</v>
      </c>
      <c r="DA202" s="20">
        <v>0</v>
      </c>
    </row>
    <row r="203" spans="1:106" ht="15.75" x14ac:dyDescent="0.25">
      <c r="A203" s="72" t="s">
        <v>1</v>
      </c>
      <c r="B203" s="34" t="s">
        <v>297</v>
      </c>
      <c r="C203" s="31" t="s">
        <v>366</v>
      </c>
      <c r="D203" s="18">
        <f t="shared" si="630"/>
        <v>525318</v>
      </c>
      <c r="E203" s="19">
        <f t="shared" si="631"/>
        <v>525318</v>
      </c>
      <c r="F203" s="19">
        <f t="shared" si="632"/>
        <v>525318</v>
      </c>
      <c r="G203" s="19">
        <v>0</v>
      </c>
      <c r="H203" s="19">
        <v>0</v>
      </c>
      <c r="I203" s="19">
        <f t="shared" si="633"/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f t="shared" si="634"/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f t="shared" si="635"/>
        <v>525318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23">
        <v>525318</v>
      </c>
      <c r="AC203" s="19">
        <v>0</v>
      </c>
      <c r="AD203" s="19">
        <v>0</v>
      </c>
      <c r="AE203" s="19">
        <f t="shared" si="636"/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/>
      <c r="AR203" s="19">
        <v>0</v>
      </c>
      <c r="AS203" s="19">
        <v>0</v>
      </c>
      <c r="AT203" s="19">
        <v>0</v>
      </c>
      <c r="AU203" s="19"/>
      <c r="AV203" s="19"/>
      <c r="AW203" s="19">
        <v>0</v>
      </c>
      <c r="AX203" s="19">
        <v>0</v>
      </c>
      <c r="AY203" s="19">
        <v>0</v>
      </c>
      <c r="AZ203" s="19"/>
      <c r="BA203" s="19">
        <v>0</v>
      </c>
      <c r="BB203" s="19">
        <f t="shared" si="637"/>
        <v>0</v>
      </c>
      <c r="BC203" s="19">
        <f t="shared" si="638"/>
        <v>0</v>
      </c>
      <c r="BD203" s="19">
        <v>0</v>
      </c>
      <c r="BE203" s="19">
        <v>0</v>
      </c>
      <c r="BF203" s="19">
        <v>0</v>
      </c>
      <c r="BG203" s="19">
        <f t="shared" si="639"/>
        <v>0</v>
      </c>
      <c r="BH203" s="19">
        <v>0</v>
      </c>
      <c r="BI203" s="19">
        <v>0</v>
      </c>
      <c r="BJ203" s="19">
        <v>0</v>
      </c>
      <c r="BK203" s="19">
        <v>0</v>
      </c>
      <c r="BL203" s="19">
        <f t="shared" si="640"/>
        <v>0</v>
      </c>
      <c r="BM203" s="19">
        <v>0</v>
      </c>
      <c r="BN203" s="19">
        <v>0</v>
      </c>
      <c r="BO203" s="19">
        <f t="shared" si="641"/>
        <v>0</v>
      </c>
      <c r="BP203" s="19">
        <v>0</v>
      </c>
      <c r="BQ203" s="19">
        <v>0</v>
      </c>
      <c r="BR203" s="19">
        <v>0</v>
      </c>
      <c r="BS203" s="19">
        <v>0</v>
      </c>
      <c r="BT203" s="19">
        <v>0</v>
      </c>
      <c r="BU203" s="19">
        <v>0</v>
      </c>
      <c r="BV203" s="19">
        <v>0</v>
      </c>
      <c r="BW203" s="19">
        <v>0</v>
      </c>
      <c r="BX203" s="19">
        <v>0</v>
      </c>
      <c r="BY203" s="19">
        <v>0</v>
      </c>
      <c r="BZ203" s="19">
        <v>0</v>
      </c>
      <c r="CA203" s="19">
        <f t="shared" si="642"/>
        <v>0</v>
      </c>
      <c r="CB203" s="19">
        <f t="shared" si="643"/>
        <v>0</v>
      </c>
      <c r="CC203" s="19">
        <f t="shared" si="644"/>
        <v>0</v>
      </c>
      <c r="CD203" s="19">
        <v>0</v>
      </c>
      <c r="CE203" s="19">
        <v>0</v>
      </c>
      <c r="CF203" s="19">
        <f t="shared" si="645"/>
        <v>0</v>
      </c>
      <c r="CG203" s="19">
        <v>0</v>
      </c>
      <c r="CH203" s="19">
        <v>0</v>
      </c>
      <c r="CI203" s="19">
        <v>0</v>
      </c>
      <c r="CJ203" s="19">
        <v>0</v>
      </c>
      <c r="CK203" s="19">
        <v>0</v>
      </c>
      <c r="CL203" s="19">
        <f t="shared" si="646"/>
        <v>0</v>
      </c>
      <c r="CM203" s="19">
        <v>0</v>
      </c>
      <c r="CN203" s="19">
        <v>0</v>
      </c>
      <c r="CO203" s="19">
        <v>0</v>
      </c>
      <c r="CP203" s="19"/>
      <c r="CQ203" s="19"/>
      <c r="CR203" s="19"/>
      <c r="CS203" s="19"/>
      <c r="CT203" s="19">
        <v>0</v>
      </c>
      <c r="CU203" s="19"/>
      <c r="CV203" s="19"/>
      <c r="CW203" s="19"/>
      <c r="CX203" s="19">
        <f t="shared" si="647"/>
        <v>0</v>
      </c>
      <c r="CY203" s="19">
        <f t="shared" si="648"/>
        <v>0</v>
      </c>
      <c r="CZ203" s="19">
        <v>0</v>
      </c>
      <c r="DA203" s="20">
        <v>0</v>
      </c>
    </row>
    <row r="204" spans="1:106" ht="15.75" x14ac:dyDescent="0.25">
      <c r="A204" s="72" t="s">
        <v>1</v>
      </c>
      <c r="B204" s="34" t="s">
        <v>297</v>
      </c>
      <c r="C204" s="31" t="s">
        <v>367</v>
      </c>
      <c r="D204" s="18">
        <f t="shared" si="630"/>
        <v>123675</v>
      </c>
      <c r="E204" s="19">
        <f t="shared" si="631"/>
        <v>123675</v>
      </c>
      <c r="F204" s="19">
        <f t="shared" si="632"/>
        <v>123675</v>
      </c>
      <c r="G204" s="19">
        <v>0</v>
      </c>
      <c r="H204" s="19">
        <v>0</v>
      </c>
      <c r="I204" s="19">
        <f t="shared" si="633"/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f t="shared" si="634"/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f t="shared" si="635"/>
        <v>123675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0</v>
      </c>
      <c r="AB204" s="23">
        <v>123675</v>
      </c>
      <c r="AC204" s="19">
        <v>0</v>
      </c>
      <c r="AD204" s="19">
        <v>0</v>
      </c>
      <c r="AE204" s="19">
        <f t="shared" si="636"/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/>
      <c r="AR204" s="19">
        <v>0</v>
      </c>
      <c r="AS204" s="19">
        <v>0</v>
      </c>
      <c r="AT204" s="19">
        <v>0</v>
      </c>
      <c r="AU204" s="19"/>
      <c r="AV204" s="19"/>
      <c r="AW204" s="19">
        <v>0</v>
      </c>
      <c r="AX204" s="19">
        <v>0</v>
      </c>
      <c r="AY204" s="19">
        <v>0</v>
      </c>
      <c r="AZ204" s="19"/>
      <c r="BA204" s="19">
        <v>0</v>
      </c>
      <c r="BB204" s="19">
        <f t="shared" si="637"/>
        <v>0</v>
      </c>
      <c r="BC204" s="19">
        <f t="shared" si="638"/>
        <v>0</v>
      </c>
      <c r="BD204" s="19">
        <v>0</v>
      </c>
      <c r="BE204" s="19">
        <v>0</v>
      </c>
      <c r="BF204" s="19">
        <v>0</v>
      </c>
      <c r="BG204" s="19">
        <f t="shared" si="639"/>
        <v>0</v>
      </c>
      <c r="BH204" s="19">
        <v>0</v>
      </c>
      <c r="BI204" s="19">
        <v>0</v>
      </c>
      <c r="BJ204" s="19">
        <v>0</v>
      </c>
      <c r="BK204" s="19">
        <v>0</v>
      </c>
      <c r="BL204" s="19">
        <f t="shared" si="640"/>
        <v>0</v>
      </c>
      <c r="BM204" s="19">
        <v>0</v>
      </c>
      <c r="BN204" s="19">
        <v>0</v>
      </c>
      <c r="BO204" s="19">
        <f t="shared" si="641"/>
        <v>0</v>
      </c>
      <c r="BP204" s="19">
        <v>0</v>
      </c>
      <c r="BQ204" s="19">
        <v>0</v>
      </c>
      <c r="BR204" s="19">
        <v>0</v>
      </c>
      <c r="BS204" s="19">
        <v>0</v>
      </c>
      <c r="BT204" s="19">
        <v>0</v>
      </c>
      <c r="BU204" s="19">
        <v>0</v>
      </c>
      <c r="BV204" s="19">
        <v>0</v>
      </c>
      <c r="BW204" s="19">
        <v>0</v>
      </c>
      <c r="BX204" s="19">
        <v>0</v>
      </c>
      <c r="BY204" s="19">
        <v>0</v>
      </c>
      <c r="BZ204" s="19">
        <v>0</v>
      </c>
      <c r="CA204" s="19">
        <f t="shared" si="642"/>
        <v>0</v>
      </c>
      <c r="CB204" s="19">
        <f t="shared" si="643"/>
        <v>0</v>
      </c>
      <c r="CC204" s="19">
        <f t="shared" si="644"/>
        <v>0</v>
      </c>
      <c r="CD204" s="19">
        <v>0</v>
      </c>
      <c r="CE204" s="19">
        <v>0</v>
      </c>
      <c r="CF204" s="19">
        <f t="shared" si="645"/>
        <v>0</v>
      </c>
      <c r="CG204" s="19">
        <v>0</v>
      </c>
      <c r="CH204" s="19">
        <v>0</v>
      </c>
      <c r="CI204" s="19">
        <v>0</v>
      </c>
      <c r="CJ204" s="19">
        <v>0</v>
      </c>
      <c r="CK204" s="19">
        <v>0</v>
      </c>
      <c r="CL204" s="19">
        <f t="shared" si="646"/>
        <v>0</v>
      </c>
      <c r="CM204" s="19">
        <v>0</v>
      </c>
      <c r="CN204" s="19">
        <v>0</v>
      </c>
      <c r="CO204" s="19">
        <v>0</v>
      </c>
      <c r="CP204" s="19"/>
      <c r="CQ204" s="19"/>
      <c r="CR204" s="19"/>
      <c r="CS204" s="19"/>
      <c r="CT204" s="19">
        <v>0</v>
      </c>
      <c r="CU204" s="19"/>
      <c r="CV204" s="19"/>
      <c r="CW204" s="19"/>
      <c r="CX204" s="19">
        <f t="shared" si="647"/>
        <v>0</v>
      </c>
      <c r="CY204" s="19">
        <f t="shared" si="648"/>
        <v>0</v>
      </c>
      <c r="CZ204" s="19">
        <v>0</v>
      </c>
      <c r="DA204" s="20">
        <v>0</v>
      </c>
    </row>
    <row r="205" spans="1:106" ht="15.75" x14ac:dyDescent="0.25">
      <c r="A205" s="72" t="s">
        <v>1</v>
      </c>
      <c r="B205" s="34" t="s">
        <v>297</v>
      </c>
      <c r="C205" s="31" t="s">
        <v>368</v>
      </c>
      <c r="D205" s="18">
        <f t="shared" si="630"/>
        <v>1053650</v>
      </c>
      <c r="E205" s="19">
        <f t="shared" si="631"/>
        <v>1053650</v>
      </c>
      <c r="F205" s="19">
        <f t="shared" si="632"/>
        <v>1053650</v>
      </c>
      <c r="G205" s="19">
        <v>0</v>
      </c>
      <c r="H205" s="19">
        <v>0</v>
      </c>
      <c r="I205" s="19">
        <f t="shared" si="633"/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f t="shared" si="634"/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f t="shared" si="635"/>
        <v>1053650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23">
        <v>1053650</v>
      </c>
      <c r="AC205" s="19">
        <v>0</v>
      </c>
      <c r="AD205" s="19">
        <v>0</v>
      </c>
      <c r="AE205" s="19">
        <f t="shared" si="636"/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>
        <v>0</v>
      </c>
      <c r="AQ205" s="19"/>
      <c r="AR205" s="19">
        <v>0</v>
      </c>
      <c r="AS205" s="19">
        <v>0</v>
      </c>
      <c r="AT205" s="19">
        <v>0</v>
      </c>
      <c r="AU205" s="19"/>
      <c r="AV205" s="19"/>
      <c r="AW205" s="19">
        <v>0</v>
      </c>
      <c r="AX205" s="19">
        <v>0</v>
      </c>
      <c r="AY205" s="19">
        <v>0</v>
      </c>
      <c r="AZ205" s="19"/>
      <c r="BA205" s="19">
        <v>0</v>
      </c>
      <c r="BB205" s="19">
        <f t="shared" si="637"/>
        <v>0</v>
      </c>
      <c r="BC205" s="19">
        <f t="shared" si="638"/>
        <v>0</v>
      </c>
      <c r="BD205" s="19">
        <v>0</v>
      </c>
      <c r="BE205" s="19">
        <v>0</v>
      </c>
      <c r="BF205" s="19">
        <v>0</v>
      </c>
      <c r="BG205" s="19">
        <f t="shared" si="639"/>
        <v>0</v>
      </c>
      <c r="BH205" s="19">
        <v>0</v>
      </c>
      <c r="BI205" s="19">
        <v>0</v>
      </c>
      <c r="BJ205" s="19">
        <v>0</v>
      </c>
      <c r="BK205" s="19">
        <v>0</v>
      </c>
      <c r="BL205" s="19">
        <f t="shared" si="640"/>
        <v>0</v>
      </c>
      <c r="BM205" s="19">
        <v>0</v>
      </c>
      <c r="BN205" s="19">
        <v>0</v>
      </c>
      <c r="BO205" s="19">
        <f t="shared" si="641"/>
        <v>0</v>
      </c>
      <c r="BP205" s="19">
        <v>0</v>
      </c>
      <c r="BQ205" s="19">
        <v>0</v>
      </c>
      <c r="BR205" s="19">
        <v>0</v>
      </c>
      <c r="BS205" s="19">
        <v>0</v>
      </c>
      <c r="BT205" s="19">
        <v>0</v>
      </c>
      <c r="BU205" s="19">
        <v>0</v>
      </c>
      <c r="BV205" s="19">
        <v>0</v>
      </c>
      <c r="BW205" s="19">
        <v>0</v>
      </c>
      <c r="BX205" s="19">
        <v>0</v>
      </c>
      <c r="BY205" s="19">
        <v>0</v>
      </c>
      <c r="BZ205" s="19">
        <v>0</v>
      </c>
      <c r="CA205" s="19">
        <f t="shared" si="642"/>
        <v>0</v>
      </c>
      <c r="CB205" s="19">
        <f t="shared" si="643"/>
        <v>0</v>
      </c>
      <c r="CC205" s="19">
        <f t="shared" si="644"/>
        <v>0</v>
      </c>
      <c r="CD205" s="19">
        <v>0</v>
      </c>
      <c r="CE205" s="19">
        <v>0</v>
      </c>
      <c r="CF205" s="19">
        <f t="shared" si="645"/>
        <v>0</v>
      </c>
      <c r="CG205" s="19">
        <v>0</v>
      </c>
      <c r="CH205" s="19">
        <v>0</v>
      </c>
      <c r="CI205" s="19">
        <v>0</v>
      </c>
      <c r="CJ205" s="19">
        <v>0</v>
      </c>
      <c r="CK205" s="19">
        <v>0</v>
      </c>
      <c r="CL205" s="19">
        <f t="shared" si="646"/>
        <v>0</v>
      </c>
      <c r="CM205" s="19">
        <v>0</v>
      </c>
      <c r="CN205" s="19">
        <v>0</v>
      </c>
      <c r="CO205" s="19">
        <v>0</v>
      </c>
      <c r="CP205" s="19"/>
      <c r="CQ205" s="19"/>
      <c r="CR205" s="19"/>
      <c r="CS205" s="19"/>
      <c r="CT205" s="19">
        <v>0</v>
      </c>
      <c r="CU205" s="19"/>
      <c r="CV205" s="19"/>
      <c r="CW205" s="19"/>
      <c r="CX205" s="19">
        <f t="shared" si="647"/>
        <v>0</v>
      </c>
      <c r="CY205" s="19">
        <f t="shared" si="648"/>
        <v>0</v>
      </c>
      <c r="CZ205" s="19">
        <v>0</v>
      </c>
      <c r="DA205" s="20">
        <v>0</v>
      </c>
    </row>
    <row r="206" spans="1:106" ht="15.75" x14ac:dyDescent="0.25">
      <c r="A206" s="72" t="s">
        <v>1</v>
      </c>
      <c r="B206" s="34" t="s">
        <v>297</v>
      </c>
      <c r="C206" s="31" t="s">
        <v>369</v>
      </c>
      <c r="D206" s="18">
        <f t="shared" si="630"/>
        <v>658062</v>
      </c>
      <c r="E206" s="19">
        <f t="shared" si="631"/>
        <v>658062</v>
      </c>
      <c r="F206" s="19">
        <f t="shared" si="632"/>
        <v>658062</v>
      </c>
      <c r="G206" s="19">
        <v>0</v>
      </c>
      <c r="H206" s="19">
        <v>0</v>
      </c>
      <c r="I206" s="19">
        <f t="shared" si="633"/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f t="shared" si="634"/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f t="shared" si="635"/>
        <v>658062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23">
        <v>658062</v>
      </c>
      <c r="AC206" s="19">
        <v>0</v>
      </c>
      <c r="AD206" s="19">
        <v>0</v>
      </c>
      <c r="AE206" s="19">
        <f t="shared" si="636"/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/>
      <c r="AR206" s="19">
        <v>0</v>
      </c>
      <c r="AS206" s="19">
        <v>0</v>
      </c>
      <c r="AT206" s="19">
        <v>0</v>
      </c>
      <c r="AU206" s="19"/>
      <c r="AV206" s="19"/>
      <c r="AW206" s="19">
        <v>0</v>
      </c>
      <c r="AX206" s="19">
        <v>0</v>
      </c>
      <c r="AY206" s="19">
        <v>0</v>
      </c>
      <c r="AZ206" s="19"/>
      <c r="BA206" s="19">
        <v>0</v>
      </c>
      <c r="BB206" s="19">
        <f t="shared" si="637"/>
        <v>0</v>
      </c>
      <c r="BC206" s="19">
        <f t="shared" si="638"/>
        <v>0</v>
      </c>
      <c r="BD206" s="19">
        <v>0</v>
      </c>
      <c r="BE206" s="19">
        <v>0</v>
      </c>
      <c r="BF206" s="19">
        <v>0</v>
      </c>
      <c r="BG206" s="19">
        <f t="shared" si="639"/>
        <v>0</v>
      </c>
      <c r="BH206" s="19">
        <v>0</v>
      </c>
      <c r="BI206" s="19">
        <v>0</v>
      </c>
      <c r="BJ206" s="19">
        <v>0</v>
      </c>
      <c r="BK206" s="19">
        <v>0</v>
      </c>
      <c r="BL206" s="19">
        <f t="shared" si="640"/>
        <v>0</v>
      </c>
      <c r="BM206" s="19">
        <v>0</v>
      </c>
      <c r="BN206" s="19">
        <v>0</v>
      </c>
      <c r="BO206" s="19">
        <f t="shared" si="641"/>
        <v>0</v>
      </c>
      <c r="BP206" s="19">
        <v>0</v>
      </c>
      <c r="BQ206" s="19">
        <v>0</v>
      </c>
      <c r="BR206" s="19">
        <v>0</v>
      </c>
      <c r="BS206" s="19">
        <v>0</v>
      </c>
      <c r="BT206" s="19">
        <v>0</v>
      </c>
      <c r="BU206" s="19">
        <v>0</v>
      </c>
      <c r="BV206" s="19">
        <v>0</v>
      </c>
      <c r="BW206" s="19">
        <v>0</v>
      </c>
      <c r="BX206" s="19">
        <v>0</v>
      </c>
      <c r="BY206" s="19">
        <v>0</v>
      </c>
      <c r="BZ206" s="19">
        <v>0</v>
      </c>
      <c r="CA206" s="19">
        <f t="shared" si="642"/>
        <v>0</v>
      </c>
      <c r="CB206" s="19">
        <f t="shared" si="643"/>
        <v>0</v>
      </c>
      <c r="CC206" s="19">
        <f t="shared" si="644"/>
        <v>0</v>
      </c>
      <c r="CD206" s="19">
        <v>0</v>
      </c>
      <c r="CE206" s="19">
        <v>0</v>
      </c>
      <c r="CF206" s="19">
        <f t="shared" si="645"/>
        <v>0</v>
      </c>
      <c r="CG206" s="19">
        <v>0</v>
      </c>
      <c r="CH206" s="19">
        <v>0</v>
      </c>
      <c r="CI206" s="19">
        <v>0</v>
      </c>
      <c r="CJ206" s="19">
        <v>0</v>
      </c>
      <c r="CK206" s="19">
        <v>0</v>
      </c>
      <c r="CL206" s="19">
        <f t="shared" si="646"/>
        <v>0</v>
      </c>
      <c r="CM206" s="19">
        <v>0</v>
      </c>
      <c r="CN206" s="19">
        <v>0</v>
      </c>
      <c r="CO206" s="19">
        <v>0</v>
      </c>
      <c r="CP206" s="19"/>
      <c r="CQ206" s="19"/>
      <c r="CR206" s="19"/>
      <c r="CS206" s="19"/>
      <c r="CT206" s="19">
        <v>0</v>
      </c>
      <c r="CU206" s="19"/>
      <c r="CV206" s="19"/>
      <c r="CW206" s="19"/>
      <c r="CX206" s="19">
        <f t="shared" si="647"/>
        <v>0</v>
      </c>
      <c r="CY206" s="19">
        <f t="shared" si="648"/>
        <v>0</v>
      </c>
      <c r="CZ206" s="19">
        <v>0</v>
      </c>
      <c r="DA206" s="20">
        <v>0</v>
      </c>
    </row>
    <row r="207" spans="1:106" ht="15.75" x14ac:dyDescent="0.25">
      <c r="A207" s="72"/>
      <c r="B207" s="34" t="s">
        <v>297</v>
      </c>
      <c r="C207" s="31" t="s">
        <v>370</v>
      </c>
      <c r="D207" s="18">
        <f t="shared" si="630"/>
        <v>3685690</v>
      </c>
      <c r="E207" s="19">
        <f t="shared" si="631"/>
        <v>3685690</v>
      </c>
      <c r="F207" s="19">
        <f t="shared" si="632"/>
        <v>3685690</v>
      </c>
      <c r="G207" s="19">
        <v>0</v>
      </c>
      <c r="H207" s="19">
        <v>0</v>
      </c>
      <c r="I207" s="19">
        <f t="shared" ref="I207" si="649">SUM(J207:O207)</f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f t="shared" ref="P207" si="650">SUM(Q207:R207)</f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f t="shared" ref="U207" si="651">SUM(V207:AC207)</f>
        <v>3685690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23">
        <v>3685690</v>
      </c>
      <c r="AC207" s="19">
        <v>0</v>
      </c>
      <c r="AD207" s="19">
        <v>0</v>
      </c>
      <c r="AE207" s="19">
        <f t="shared" si="636"/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>
        <v>0</v>
      </c>
      <c r="AQ207" s="19"/>
      <c r="AR207" s="19">
        <v>0</v>
      </c>
      <c r="AS207" s="19">
        <v>0</v>
      </c>
      <c r="AT207" s="19">
        <v>0</v>
      </c>
      <c r="AU207" s="19"/>
      <c r="AV207" s="19"/>
      <c r="AW207" s="19">
        <v>0</v>
      </c>
      <c r="AX207" s="19">
        <v>0</v>
      </c>
      <c r="AY207" s="19">
        <v>0</v>
      </c>
      <c r="AZ207" s="19"/>
      <c r="BA207" s="19">
        <v>0</v>
      </c>
      <c r="BB207" s="19">
        <f t="shared" si="637"/>
        <v>0</v>
      </c>
      <c r="BC207" s="19">
        <f t="shared" ref="BC207" si="652">SUM(BD207:BF207)</f>
        <v>0</v>
      </c>
      <c r="BD207" s="19">
        <v>0</v>
      </c>
      <c r="BE207" s="19">
        <v>0</v>
      </c>
      <c r="BF207" s="19">
        <v>0</v>
      </c>
      <c r="BG207" s="19">
        <f t="shared" si="639"/>
        <v>0</v>
      </c>
      <c r="BH207" s="19">
        <v>0</v>
      </c>
      <c r="BI207" s="19">
        <v>0</v>
      </c>
      <c r="BJ207" s="19">
        <v>0</v>
      </c>
      <c r="BK207" s="19">
        <v>0</v>
      </c>
      <c r="BL207" s="19">
        <f t="shared" ref="BL207" si="653">SUM(BM207)</f>
        <v>0</v>
      </c>
      <c r="BM207" s="19">
        <v>0</v>
      </c>
      <c r="BN207" s="19">
        <v>0</v>
      </c>
      <c r="BO207" s="19">
        <f t="shared" si="641"/>
        <v>0</v>
      </c>
      <c r="BP207" s="19">
        <v>0</v>
      </c>
      <c r="BQ207" s="19">
        <v>0</v>
      </c>
      <c r="BR207" s="19">
        <v>0</v>
      </c>
      <c r="BS207" s="19">
        <v>0</v>
      </c>
      <c r="BT207" s="19">
        <v>0</v>
      </c>
      <c r="BU207" s="19">
        <v>0</v>
      </c>
      <c r="BV207" s="19">
        <v>0</v>
      </c>
      <c r="BW207" s="19">
        <v>0</v>
      </c>
      <c r="BX207" s="19">
        <v>0</v>
      </c>
      <c r="BY207" s="19">
        <v>0</v>
      </c>
      <c r="BZ207" s="19">
        <v>0</v>
      </c>
      <c r="CA207" s="19">
        <f t="shared" si="642"/>
        <v>0</v>
      </c>
      <c r="CB207" s="19">
        <f t="shared" si="643"/>
        <v>0</v>
      </c>
      <c r="CC207" s="19">
        <f t="shared" ref="CC207" si="654">SUM(CD207:CE207)</f>
        <v>0</v>
      </c>
      <c r="CD207" s="19">
        <v>0</v>
      </c>
      <c r="CE207" s="19">
        <v>0</v>
      </c>
      <c r="CF207" s="19">
        <f t="shared" si="645"/>
        <v>0</v>
      </c>
      <c r="CG207" s="19">
        <v>0</v>
      </c>
      <c r="CH207" s="19">
        <v>0</v>
      </c>
      <c r="CI207" s="19">
        <v>0</v>
      </c>
      <c r="CJ207" s="19">
        <v>0</v>
      </c>
      <c r="CK207" s="19">
        <v>0</v>
      </c>
      <c r="CL207" s="19">
        <f t="shared" si="646"/>
        <v>0</v>
      </c>
      <c r="CM207" s="19">
        <v>0</v>
      </c>
      <c r="CN207" s="19">
        <v>0</v>
      </c>
      <c r="CO207" s="19">
        <v>0</v>
      </c>
      <c r="CP207" s="19"/>
      <c r="CQ207" s="19"/>
      <c r="CR207" s="19"/>
      <c r="CS207" s="19"/>
      <c r="CT207" s="19">
        <v>0</v>
      </c>
      <c r="CU207" s="19"/>
      <c r="CV207" s="19"/>
      <c r="CW207" s="19"/>
      <c r="CX207" s="19">
        <f t="shared" ref="CX207" si="655">SUM(CY207)</f>
        <v>0</v>
      </c>
      <c r="CY207" s="19">
        <f t="shared" ref="CY207" si="656">SUM(CZ207:DA207)</f>
        <v>0</v>
      </c>
      <c r="CZ207" s="19">
        <v>0</v>
      </c>
      <c r="DA207" s="20">
        <v>0</v>
      </c>
    </row>
    <row r="208" spans="1:106" ht="47.25" x14ac:dyDescent="0.25">
      <c r="A208" s="72" t="s">
        <v>1</v>
      </c>
      <c r="B208" s="33" t="s">
        <v>104</v>
      </c>
      <c r="C208" s="32" t="s">
        <v>490</v>
      </c>
      <c r="D208" s="18">
        <f t="shared" si="630"/>
        <v>6291400</v>
      </c>
      <c r="E208" s="19">
        <f t="shared" si="631"/>
        <v>6291400</v>
      </c>
      <c r="F208" s="19">
        <f t="shared" si="632"/>
        <v>6291400</v>
      </c>
      <c r="G208" s="19">
        <v>0</v>
      </c>
      <c r="H208" s="19">
        <v>0</v>
      </c>
      <c r="I208" s="19">
        <f t="shared" si="633"/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f t="shared" si="634"/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f t="shared" si="635"/>
        <v>6291400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23">
        <f>6691411-400011</f>
        <v>6291400</v>
      </c>
      <c r="AC208" s="19">
        <v>0</v>
      </c>
      <c r="AD208" s="19">
        <v>0</v>
      </c>
      <c r="AE208" s="19">
        <f t="shared" si="636"/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/>
      <c r="AR208" s="19">
        <v>0</v>
      </c>
      <c r="AS208" s="19">
        <v>0</v>
      </c>
      <c r="AT208" s="19">
        <v>0</v>
      </c>
      <c r="AU208" s="19"/>
      <c r="AV208" s="19"/>
      <c r="AW208" s="19">
        <v>0</v>
      </c>
      <c r="AX208" s="19">
        <v>0</v>
      </c>
      <c r="AY208" s="19">
        <v>0</v>
      </c>
      <c r="AZ208" s="19"/>
      <c r="BA208" s="19">
        <v>0</v>
      </c>
      <c r="BB208" s="19">
        <f t="shared" si="637"/>
        <v>0</v>
      </c>
      <c r="BC208" s="19">
        <f t="shared" si="638"/>
        <v>0</v>
      </c>
      <c r="BD208" s="19">
        <v>0</v>
      </c>
      <c r="BE208" s="19">
        <v>0</v>
      </c>
      <c r="BF208" s="19">
        <v>0</v>
      </c>
      <c r="BG208" s="19">
        <f t="shared" si="639"/>
        <v>0</v>
      </c>
      <c r="BH208" s="19">
        <v>0</v>
      </c>
      <c r="BI208" s="19">
        <v>0</v>
      </c>
      <c r="BJ208" s="19">
        <v>0</v>
      </c>
      <c r="BK208" s="19">
        <v>0</v>
      </c>
      <c r="BL208" s="19">
        <f t="shared" si="640"/>
        <v>0</v>
      </c>
      <c r="BM208" s="19">
        <v>0</v>
      </c>
      <c r="BN208" s="19">
        <v>0</v>
      </c>
      <c r="BO208" s="19">
        <f t="shared" si="641"/>
        <v>0</v>
      </c>
      <c r="BP208" s="19">
        <v>0</v>
      </c>
      <c r="BQ208" s="19">
        <v>0</v>
      </c>
      <c r="BR208" s="19">
        <v>0</v>
      </c>
      <c r="BS208" s="19">
        <v>0</v>
      </c>
      <c r="BT208" s="19">
        <v>0</v>
      </c>
      <c r="BU208" s="19">
        <v>0</v>
      </c>
      <c r="BV208" s="19">
        <v>0</v>
      </c>
      <c r="BW208" s="19">
        <v>0</v>
      </c>
      <c r="BX208" s="19">
        <v>0</v>
      </c>
      <c r="BY208" s="19">
        <v>0</v>
      </c>
      <c r="BZ208" s="19">
        <v>0</v>
      </c>
      <c r="CA208" s="19">
        <f t="shared" si="642"/>
        <v>0</v>
      </c>
      <c r="CB208" s="19">
        <f t="shared" si="643"/>
        <v>0</v>
      </c>
      <c r="CC208" s="19">
        <f t="shared" si="644"/>
        <v>0</v>
      </c>
      <c r="CD208" s="19">
        <v>0</v>
      </c>
      <c r="CE208" s="19">
        <v>0</v>
      </c>
      <c r="CF208" s="19">
        <f t="shared" si="645"/>
        <v>0</v>
      </c>
      <c r="CG208" s="19">
        <v>0</v>
      </c>
      <c r="CH208" s="19">
        <v>0</v>
      </c>
      <c r="CI208" s="19">
        <v>0</v>
      </c>
      <c r="CJ208" s="19">
        <v>0</v>
      </c>
      <c r="CK208" s="19">
        <v>0</v>
      </c>
      <c r="CL208" s="19">
        <f t="shared" si="646"/>
        <v>0</v>
      </c>
      <c r="CM208" s="19">
        <v>0</v>
      </c>
      <c r="CN208" s="19">
        <v>0</v>
      </c>
      <c r="CO208" s="19">
        <v>0</v>
      </c>
      <c r="CP208" s="19"/>
      <c r="CQ208" s="19"/>
      <c r="CR208" s="19"/>
      <c r="CS208" s="19"/>
      <c r="CT208" s="19">
        <v>0</v>
      </c>
      <c r="CU208" s="19"/>
      <c r="CV208" s="19"/>
      <c r="CW208" s="19"/>
      <c r="CX208" s="19">
        <f t="shared" si="647"/>
        <v>0</v>
      </c>
      <c r="CY208" s="19">
        <f t="shared" si="648"/>
        <v>0</v>
      </c>
      <c r="CZ208" s="19">
        <v>0</v>
      </c>
      <c r="DA208" s="20">
        <v>0</v>
      </c>
    </row>
    <row r="209" spans="1:106" s="86" customFormat="1" ht="31.5" x14ac:dyDescent="0.25">
      <c r="A209" s="73" t="s">
        <v>298</v>
      </c>
      <c r="B209" s="25" t="s">
        <v>1</v>
      </c>
      <c r="C209" s="26" t="s">
        <v>299</v>
      </c>
      <c r="D209" s="27">
        <f>SUM(D210)</f>
        <v>3793116</v>
      </c>
      <c r="E209" s="27">
        <f t="shared" ref="E209:BU213" si="657">SUM(E210)</f>
        <v>0</v>
      </c>
      <c r="F209" s="27">
        <f t="shared" si="657"/>
        <v>0</v>
      </c>
      <c r="G209" s="27">
        <f t="shared" si="657"/>
        <v>0</v>
      </c>
      <c r="H209" s="27">
        <f t="shared" si="657"/>
        <v>0</v>
      </c>
      <c r="I209" s="27">
        <f t="shared" si="657"/>
        <v>0</v>
      </c>
      <c r="J209" s="27">
        <f t="shared" si="657"/>
        <v>0</v>
      </c>
      <c r="K209" s="27">
        <f t="shared" si="657"/>
        <v>0</v>
      </c>
      <c r="L209" s="27">
        <f t="shared" si="657"/>
        <v>0</v>
      </c>
      <c r="M209" s="27">
        <f t="shared" si="657"/>
        <v>0</v>
      </c>
      <c r="N209" s="27">
        <f t="shared" si="657"/>
        <v>0</v>
      </c>
      <c r="O209" s="27">
        <f t="shared" si="657"/>
        <v>0</v>
      </c>
      <c r="P209" s="27">
        <f t="shared" si="657"/>
        <v>0</v>
      </c>
      <c r="Q209" s="27">
        <f t="shared" si="657"/>
        <v>0</v>
      </c>
      <c r="R209" s="27">
        <f t="shared" si="657"/>
        <v>0</v>
      </c>
      <c r="S209" s="27">
        <f t="shared" si="657"/>
        <v>0</v>
      </c>
      <c r="T209" s="27">
        <f t="shared" si="657"/>
        <v>0</v>
      </c>
      <c r="U209" s="27">
        <f t="shared" si="657"/>
        <v>0</v>
      </c>
      <c r="V209" s="27">
        <f t="shared" si="657"/>
        <v>0</v>
      </c>
      <c r="W209" s="27">
        <f t="shared" si="657"/>
        <v>0</v>
      </c>
      <c r="X209" s="27">
        <f t="shared" si="657"/>
        <v>0</v>
      </c>
      <c r="Y209" s="27">
        <f t="shared" si="657"/>
        <v>0</v>
      </c>
      <c r="Z209" s="27">
        <f t="shared" si="657"/>
        <v>0</v>
      </c>
      <c r="AA209" s="27">
        <f t="shared" si="657"/>
        <v>0</v>
      </c>
      <c r="AB209" s="27">
        <f t="shared" si="657"/>
        <v>0</v>
      </c>
      <c r="AC209" s="27">
        <f t="shared" si="657"/>
        <v>0</v>
      </c>
      <c r="AD209" s="27">
        <f t="shared" si="657"/>
        <v>0</v>
      </c>
      <c r="AE209" s="27">
        <f t="shared" si="657"/>
        <v>0</v>
      </c>
      <c r="AF209" s="27">
        <f t="shared" si="657"/>
        <v>0</v>
      </c>
      <c r="AG209" s="27">
        <f t="shared" si="657"/>
        <v>0</v>
      </c>
      <c r="AH209" s="27">
        <f t="shared" si="657"/>
        <v>0</v>
      </c>
      <c r="AI209" s="27">
        <f t="shared" si="657"/>
        <v>0</v>
      </c>
      <c r="AJ209" s="27">
        <f t="shared" si="657"/>
        <v>0</v>
      </c>
      <c r="AK209" s="27">
        <f t="shared" si="657"/>
        <v>0</v>
      </c>
      <c r="AL209" s="27">
        <f t="shared" si="657"/>
        <v>0</v>
      </c>
      <c r="AM209" s="27">
        <f t="shared" si="657"/>
        <v>0</v>
      </c>
      <c r="AN209" s="27">
        <f t="shared" si="657"/>
        <v>0</v>
      </c>
      <c r="AO209" s="27">
        <f t="shared" si="657"/>
        <v>0</v>
      </c>
      <c r="AP209" s="27">
        <f t="shared" si="657"/>
        <v>0</v>
      </c>
      <c r="AQ209" s="27"/>
      <c r="AR209" s="27">
        <f t="shared" si="657"/>
        <v>0</v>
      </c>
      <c r="AS209" s="27">
        <f t="shared" si="657"/>
        <v>0</v>
      </c>
      <c r="AT209" s="27">
        <f t="shared" si="657"/>
        <v>0</v>
      </c>
      <c r="AU209" s="27"/>
      <c r="AV209" s="27"/>
      <c r="AW209" s="27">
        <f t="shared" si="657"/>
        <v>0</v>
      </c>
      <c r="AX209" s="27">
        <f t="shared" si="657"/>
        <v>0</v>
      </c>
      <c r="AY209" s="27">
        <f>SUM(AY210)</f>
        <v>0</v>
      </c>
      <c r="AZ209" s="27"/>
      <c r="BA209" s="27">
        <f t="shared" si="657"/>
        <v>0</v>
      </c>
      <c r="BB209" s="27">
        <f t="shared" si="657"/>
        <v>0</v>
      </c>
      <c r="BC209" s="27">
        <f t="shared" si="657"/>
        <v>0</v>
      </c>
      <c r="BD209" s="27">
        <f t="shared" si="657"/>
        <v>0</v>
      </c>
      <c r="BE209" s="27">
        <f t="shared" si="657"/>
        <v>0</v>
      </c>
      <c r="BF209" s="27">
        <f t="shared" si="657"/>
        <v>0</v>
      </c>
      <c r="BG209" s="27">
        <f t="shared" si="657"/>
        <v>0</v>
      </c>
      <c r="BH209" s="27">
        <f t="shared" si="657"/>
        <v>0</v>
      </c>
      <c r="BI209" s="27">
        <f t="shared" si="657"/>
        <v>0</v>
      </c>
      <c r="BJ209" s="27">
        <f t="shared" si="657"/>
        <v>0</v>
      </c>
      <c r="BK209" s="27">
        <f t="shared" si="657"/>
        <v>0</v>
      </c>
      <c r="BL209" s="27">
        <f t="shared" si="657"/>
        <v>0</v>
      </c>
      <c r="BM209" s="27">
        <f t="shared" si="657"/>
        <v>0</v>
      </c>
      <c r="BN209" s="27">
        <f t="shared" ref="BN209:BN213" si="658">SUM(BN210)</f>
        <v>0</v>
      </c>
      <c r="BO209" s="27">
        <f t="shared" si="657"/>
        <v>0</v>
      </c>
      <c r="BP209" s="27">
        <f t="shared" si="657"/>
        <v>0</v>
      </c>
      <c r="BQ209" s="27">
        <f t="shared" si="657"/>
        <v>0</v>
      </c>
      <c r="BR209" s="27">
        <f t="shared" si="657"/>
        <v>0</v>
      </c>
      <c r="BS209" s="27">
        <f t="shared" si="657"/>
        <v>0</v>
      </c>
      <c r="BT209" s="27">
        <f t="shared" si="657"/>
        <v>0</v>
      </c>
      <c r="BU209" s="27">
        <f t="shared" si="657"/>
        <v>0</v>
      </c>
      <c r="BV209" s="27">
        <f t="shared" ref="BV209:DA213" si="659">SUM(BV210)</f>
        <v>0</v>
      </c>
      <c r="BW209" s="27">
        <f t="shared" si="659"/>
        <v>0</v>
      </c>
      <c r="BX209" s="27">
        <f t="shared" si="659"/>
        <v>0</v>
      </c>
      <c r="BY209" s="27">
        <f t="shared" si="659"/>
        <v>0</v>
      </c>
      <c r="BZ209" s="27">
        <f t="shared" si="659"/>
        <v>0</v>
      </c>
      <c r="CA209" s="27">
        <f>SUM(CA210)</f>
        <v>0</v>
      </c>
      <c r="CB209" s="27">
        <f t="shared" si="659"/>
        <v>0</v>
      </c>
      <c r="CC209" s="27">
        <f t="shared" si="659"/>
        <v>0</v>
      </c>
      <c r="CD209" s="27">
        <f t="shared" si="659"/>
        <v>0</v>
      </c>
      <c r="CE209" s="27">
        <f t="shared" si="659"/>
        <v>0</v>
      </c>
      <c r="CF209" s="27">
        <f t="shared" si="659"/>
        <v>0</v>
      </c>
      <c r="CG209" s="27">
        <f t="shared" si="659"/>
        <v>0</v>
      </c>
      <c r="CH209" s="27">
        <f t="shared" si="659"/>
        <v>0</v>
      </c>
      <c r="CI209" s="27">
        <f t="shared" si="659"/>
        <v>0</v>
      </c>
      <c r="CJ209" s="27">
        <f t="shared" si="659"/>
        <v>0</v>
      </c>
      <c r="CK209" s="27">
        <f t="shared" si="659"/>
        <v>0</v>
      </c>
      <c r="CL209" s="27">
        <f t="shared" si="659"/>
        <v>0</v>
      </c>
      <c r="CM209" s="27">
        <f t="shared" si="659"/>
        <v>0</v>
      </c>
      <c r="CN209" s="27">
        <f t="shared" si="659"/>
        <v>0</v>
      </c>
      <c r="CO209" s="27">
        <f t="shared" si="659"/>
        <v>0</v>
      </c>
      <c r="CP209" s="27"/>
      <c r="CQ209" s="27"/>
      <c r="CR209" s="27"/>
      <c r="CS209" s="27"/>
      <c r="CT209" s="27">
        <f t="shared" si="659"/>
        <v>0</v>
      </c>
      <c r="CU209" s="27"/>
      <c r="CV209" s="27"/>
      <c r="CW209" s="27"/>
      <c r="CX209" s="27">
        <f t="shared" si="659"/>
        <v>3793116</v>
      </c>
      <c r="CY209" s="27">
        <f t="shared" si="659"/>
        <v>3793116</v>
      </c>
      <c r="CZ209" s="27">
        <f t="shared" si="659"/>
        <v>3793116</v>
      </c>
      <c r="DA209" s="55">
        <f t="shared" si="659"/>
        <v>0</v>
      </c>
      <c r="DB209" s="85"/>
    </row>
    <row r="210" spans="1:106" s="86" customFormat="1" ht="15.75" x14ac:dyDescent="0.25">
      <c r="A210" s="71" t="s">
        <v>300</v>
      </c>
      <c r="B210" s="16" t="s">
        <v>1</v>
      </c>
      <c r="C210" s="17" t="s">
        <v>301</v>
      </c>
      <c r="D210" s="18">
        <f>SUM(D211)</f>
        <v>3793116</v>
      </c>
      <c r="E210" s="18">
        <f t="shared" si="657"/>
        <v>0</v>
      </c>
      <c r="F210" s="18">
        <f t="shared" si="657"/>
        <v>0</v>
      </c>
      <c r="G210" s="18">
        <f t="shared" si="657"/>
        <v>0</v>
      </c>
      <c r="H210" s="18">
        <f t="shared" si="657"/>
        <v>0</v>
      </c>
      <c r="I210" s="18">
        <f t="shared" si="657"/>
        <v>0</v>
      </c>
      <c r="J210" s="18">
        <f t="shared" si="657"/>
        <v>0</v>
      </c>
      <c r="K210" s="18">
        <f t="shared" si="657"/>
        <v>0</v>
      </c>
      <c r="L210" s="18">
        <f t="shared" si="657"/>
        <v>0</v>
      </c>
      <c r="M210" s="18">
        <f t="shared" si="657"/>
        <v>0</v>
      </c>
      <c r="N210" s="18">
        <f t="shared" si="657"/>
        <v>0</v>
      </c>
      <c r="O210" s="18">
        <f t="shared" si="657"/>
        <v>0</v>
      </c>
      <c r="P210" s="18">
        <f t="shared" si="657"/>
        <v>0</v>
      </c>
      <c r="Q210" s="18">
        <f t="shared" si="657"/>
        <v>0</v>
      </c>
      <c r="R210" s="18">
        <f t="shared" si="657"/>
        <v>0</v>
      </c>
      <c r="S210" s="18">
        <f t="shared" si="657"/>
        <v>0</v>
      </c>
      <c r="T210" s="18">
        <f t="shared" si="657"/>
        <v>0</v>
      </c>
      <c r="U210" s="18">
        <f t="shared" si="657"/>
        <v>0</v>
      </c>
      <c r="V210" s="18">
        <f t="shared" si="657"/>
        <v>0</v>
      </c>
      <c r="W210" s="18">
        <f t="shared" si="657"/>
        <v>0</v>
      </c>
      <c r="X210" s="18">
        <f t="shared" si="657"/>
        <v>0</v>
      </c>
      <c r="Y210" s="18">
        <f t="shared" si="657"/>
        <v>0</v>
      </c>
      <c r="Z210" s="18">
        <f t="shared" si="657"/>
        <v>0</v>
      </c>
      <c r="AA210" s="18">
        <f t="shared" si="657"/>
        <v>0</v>
      </c>
      <c r="AB210" s="18">
        <f t="shared" si="657"/>
        <v>0</v>
      </c>
      <c r="AC210" s="18">
        <f t="shared" si="657"/>
        <v>0</v>
      </c>
      <c r="AD210" s="18">
        <f t="shared" si="657"/>
        <v>0</v>
      </c>
      <c r="AE210" s="18">
        <f t="shared" si="657"/>
        <v>0</v>
      </c>
      <c r="AF210" s="18">
        <f t="shared" si="657"/>
        <v>0</v>
      </c>
      <c r="AG210" s="18">
        <f t="shared" si="657"/>
        <v>0</v>
      </c>
      <c r="AH210" s="18">
        <f t="shared" si="657"/>
        <v>0</v>
      </c>
      <c r="AI210" s="18">
        <f t="shared" si="657"/>
        <v>0</v>
      </c>
      <c r="AJ210" s="18">
        <f t="shared" si="657"/>
        <v>0</v>
      </c>
      <c r="AK210" s="18">
        <f t="shared" si="657"/>
        <v>0</v>
      </c>
      <c r="AL210" s="18">
        <f t="shared" si="657"/>
        <v>0</v>
      </c>
      <c r="AM210" s="18">
        <f t="shared" si="657"/>
        <v>0</v>
      </c>
      <c r="AN210" s="18">
        <f t="shared" si="657"/>
        <v>0</v>
      </c>
      <c r="AO210" s="18">
        <f t="shared" si="657"/>
        <v>0</v>
      </c>
      <c r="AP210" s="18">
        <f t="shared" si="657"/>
        <v>0</v>
      </c>
      <c r="AQ210" s="18"/>
      <c r="AR210" s="18">
        <f t="shared" si="657"/>
        <v>0</v>
      </c>
      <c r="AS210" s="18">
        <f t="shared" si="657"/>
        <v>0</v>
      </c>
      <c r="AT210" s="18">
        <f t="shared" si="657"/>
        <v>0</v>
      </c>
      <c r="AU210" s="18"/>
      <c r="AV210" s="18"/>
      <c r="AW210" s="18">
        <f t="shared" si="657"/>
        <v>0</v>
      </c>
      <c r="AX210" s="18">
        <f t="shared" si="657"/>
        <v>0</v>
      </c>
      <c r="AY210" s="18">
        <f>SUM(AY211)</f>
        <v>0</v>
      </c>
      <c r="AZ210" s="18"/>
      <c r="BA210" s="18">
        <f t="shared" si="657"/>
        <v>0</v>
      </c>
      <c r="BB210" s="18">
        <f t="shared" si="657"/>
        <v>0</v>
      </c>
      <c r="BC210" s="18">
        <f t="shared" si="657"/>
        <v>0</v>
      </c>
      <c r="BD210" s="18">
        <f t="shared" si="657"/>
        <v>0</v>
      </c>
      <c r="BE210" s="18">
        <f t="shared" si="657"/>
        <v>0</v>
      </c>
      <c r="BF210" s="18">
        <f t="shared" si="657"/>
        <v>0</v>
      </c>
      <c r="BG210" s="18">
        <f t="shared" si="657"/>
        <v>0</v>
      </c>
      <c r="BH210" s="18">
        <f t="shared" si="657"/>
        <v>0</v>
      </c>
      <c r="BI210" s="18">
        <f t="shared" si="657"/>
        <v>0</v>
      </c>
      <c r="BJ210" s="18">
        <f t="shared" si="657"/>
        <v>0</v>
      </c>
      <c r="BK210" s="18">
        <f t="shared" si="657"/>
        <v>0</v>
      </c>
      <c r="BL210" s="18">
        <f t="shared" si="657"/>
        <v>0</v>
      </c>
      <c r="BM210" s="18">
        <f t="shared" si="657"/>
        <v>0</v>
      </c>
      <c r="BN210" s="18">
        <f t="shared" si="658"/>
        <v>0</v>
      </c>
      <c r="BO210" s="18">
        <f t="shared" si="657"/>
        <v>0</v>
      </c>
      <c r="BP210" s="18">
        <f t="shared" si="657"/>
        <v>0</v>
      </c>
      <c r="BQ210" s="18">
        <f t="shared" si="657"/>
        <v>0</v>
      </c>
      <c r="BR210" s="18">
        <f t="shared" si="657"/>
        <v>0</v>
      </c>
      <c r="BS210" s="18">
        <f t="shared" si="657"/>
        <v>0</v>
      </c>
      <c r="BT210" s="18">
        <f t="shared" si="657"/>
        <v>0</v>
      </c>
      <c r="BU210" s="18">
        <f t="shared" si="657"/>
        <v>0</v>
      </c>
      <c r="BV210" s="18">
        <f t="shared" si="659"/>
        <v>0</v>
      </c>
      <c r="BW210" s="18">
        <f t="shared" si="659"/>
        <v>0</v>
      </c>
      <c r="BX210" s="18">
        <f t="shared" si="659"/>
        <v>0</v>
      </c>
      <c r="BY210" s="18">
        <f t="shared" si="659"/>
        <v>0</v>
      </c>
      <c r="BZ210" s="18">
        <f t="shared" si="659"/>
        <v>0</v>
      </c>
      <c r="CA210" s="18">
        <f t="shared" si="659"/>
        <v>0</v>
      </c>
      <c r="CB210" s="18">
        <f t="shared" si="659"/>
        <v>0</v>
      </c>
      <c r="CC210" s="18">
        <f t="shared" si="659"/>
        <v>0</v>
      </c>
      <c r="CD210" s="18">
        <f t="shared" si="659"/>
        <v>0</v>
      </c>
      <c r="CE210" s="18">
        <f t="shared" si="659"/>
        <v>0</v>
      </c>
      <c r="CF210" s="18">
        <f t="shared" si="659"/>
        <v>0</v>
      </c>
      <c r="CG210" s="18">
        <f t="shared" si="659"/>
        <v>0</v>
      </c>
      <c r="CH210" s="18">
        <f t="shared" si="659"/>
        <v>0</v>
      </c>
      <c r="CI210" s="18">
        <f t="shared" si="659"/>
        <v>0</v>
      </c>
      <c r="CJ210" s="18">
        <f t="shared" si="659"/>
        <v>0</v>
      </c>
      <c r="CK210" s="18">
        <f t="shared" si="659"/>
        <v>0</v>
      </c>
      <c r="CL210" s="18">
        <f t="shared" si="659"/>
        <v>0</v>
      </c>
      <c r="CM210" s="18">
        <f t="shared" si="659"/>
        <v>0</v>
      </c>
      <c r="CN210" s="18">
        <f t="shared" si="659"/>
        <v>0</v>
      </c>
      <c r="CO210" s="18">
        <f t="shared" si="659"/>
        <v>0</v>
      </c>
      <c r="CP210" s="18"/>
      <c r="CQ210" s="18"/>
      <c r="CR210" s="18"/>
      <c r="CS210" s="18"/>
      <c r="CT210" s="18">
        <f t="shared" si="659"/>
        <v>0</v>
      </c>
      <c r="CU210" s="18"/>
      <c r="CV210" s="18"/>
      <c r="CW210" s="18"/>
      <c r="CX210" s="18">
        <f t="shared" si="659"/>
        <v>3793116</v>
      </c>
      <c r="CY210" s="18">
        <f t="shared" si="659"/>
        <v>3793116</v>
      </c>
      <c r="CZ210" s="18">
        <f t="shared" si="659"/>
        <v>3793116</v>
      </c>
      <c r="DA210" s="46">
        <f t="shared" si="659"/>
        <v>0</v>
      </c>
      <c r="DB210" s="85"/>
    </row>
    <row r="211" spans="1:106" ht="15.75" x14ac:dyDescent="0.25">
      <c r="A211" s="72" t="s">
        <v>1</v>
      </c>
      <c r="B211" s="21" t="s">
        <v>103</v>
      </c>
      <c r="C211" s="22" t="s">
        <v>541</v>
      </c>
      <c r="D211" s="18">
        <f>SUM(E211+CA211+CX211)</f>
        <v>3793116</v>
      </c>
      <c r="E211" s="19">
        <f>SUM(F211+BB211)</f>
        <v>0</v>
      </c>
      <c r="F211" s="19">
        <f>SUM(G211+H211+I211+P211+S211+T211+U211+AE211)</f>
        <v>0</v>
      </c>
      <c r="G211" s="19">
        <v>0</v>
      </c>
      <c r="H211" s="19">
        <v>0</v>
      </c>
      <c r="I211" s="19">
        <f t="shared" si="376"/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f t="shared" si="377"/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f t="shared" ref="U211" si="660">SUM(V211:AC211)</f>
        <v>0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19">
        <v>0</v>
      </c>
      <c r="AC211" s="19">
        <v>0</v>
      </c>
      <c r="AD211" s="19">
        <v>0</v>
      </c>
      <c r="AE211" s="19">
        <f>SUM(AF211:BA211)</f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19"/>
      <c r="AR211" s="19">
        <v>0</v>
      </c>
      <c r="AS211" s="19">
        <v>0</v>
      </c>
      <c r="AT211" s="19">
        <v>0</v>
      </c>
      <c r="AU211" s="19"/>
      <c r="AV211" s="19"/>
      <c r="AW211" s="19">
        <v>0</v>
      </c>
      <c r="AX211" s="19">
        <v>0</v>
      </c>
      <c r="AY211" s="19">
        <v>0</v>
      </c>
      <c r="AZ211" s="19"/>
      <c r="BA211" s="19">
        <v>0</v>
      </c>
      <c r="BB211" s="19">
        <f>SUM(BC211+BG211+BJ211+BL211+BO211)</f>
        <v>0</v>
      </c>
      <c r="BC211" s="19">
        <f>SUM(BD211:BF211)</f>
        <v>0</v>
      </c>
      <c r="BD211" s="19">
        <v>0</v>
      </c>
      <c r="BE211" s="19">
        <v>0</v>
      </c>
      <c r="BF211" s="19">
        <v>0</v>
      </c>
      <c r="BG211" s="19">
        <f>SUM(BI211:BI211)</f>
        <v>0</v>
      </c>
      <c r="BH211" s="19">
        <v>0</v>
      </c>
      <c r="BI211" s="19">
        <v>0</v>
      </c>
      <c r="BJ211" s="19">
        <v>0</v>
      </c>
      <c r="BK211" s="19">
        <v>0</v>
      </c>
      <c r="BL211" s="19">
        <f t="shared" si="379"/>
        <v>0</v>
      </c>
      <c r="BM211" s="19">
        <v>0</v>
      </c>
      <c r="BN211" s="19">
        <v>0</v>
      </c>
      <c r="BO211" s="19">
        <f>SUM(BP211:BZ211)</f>
        <v>0</v>
      </c>
      <c r="BP211" s="19">
        <v>0</v>
      </c>
      <c r="BQ211" s="19">
        <v>0</v>
      </c>
      <c r="BR211" s="19">
        <v>0</v>
      </c>
      <c r="BS211" s="19">
        <v>0</v>
      </c>
      <c r="BT211" s="19">
        <v>0</v>
      </c>
      <c r="BU211" s="19">
        <v>0</v>
      </c>
      <c r="BV211" s="19">
        <v>0</v>
      </c>
      <c r="BW211" s="19">
        <v>0</v>
      </c>
      <c r="BX211" s="19">
        <v>0</v>
      </c>
      <c r="BY211" s="19">
        <v>0</v>
      </c>
      <c r="BZ211" s="19">
        <v>0</v>
      </c>
      <c r="CA211" s="19">
        <f>SUM(CB211+CT211)</f>
        <v>0</v>
      </c>
      <c r="CB211" s="19">
        <f>SUM(CC211+CF211+CL211)</f>
        <v>0</v>
      </c>
      <c r="CC211" s="19">
        <f t="shared" si="380"/>
        <v>0</v>
      </c>
      <c r="CD211" s="19">
        <v>0</v>
      </c>
      <c r="CE211" s="19">
        <v>0</v>
      </c>
      <c r="CF211" s="19">
        <f>SUM(CG211:CK211)</f>
        <v>0</v>
      </c>
      <c r="CG211" s="19">
        <v>0</v>
      </c>
      <c r="CH211" s="19">
        <v>0</v>
      </c>
      <c r="CI211" s="19">
        <v>0</v>
      </c>
      <c r="CJ211" s="19">
        <v>0</v>
      </c>
      <c r="CK211" s="19">
        <v>0</v>
      </c>
      <c r="CL211" s="19">
        <f>SUM(CM211:CQ211)</f>
        <v>0</v>
      </c>
      <c r="CM211" s="19">
        <v>0</v>
      </c>
      <c r="CN211" s="19">
        <v>0</v>
      </c>
      <c r="CO211" s="19">
        <v>0</v>
      </c>
      <c r="CP211" s="19"/>
      <c r="CQ211" s="19"/>
      <c r="CR211" s="19"/>
      <c r="CS211" s="19"/>
      <c r="CT211" s="19">
        <v>0</v>
      </c>
      <c r="CU211" s="19"/>
      <c r="CV211" s="19"/>
      <c r="CW211" s="19"/>
      <c r="CX211" s="19">
        <f t="shared" si="382"/>
        <v>3793116</v>
      </c>
      <c r="CY211" s="19">
        <f t="shared" si="383"/>
        <v>3793116</v>
      </c>
      <c r="CZ211" s="23">
        <v>3793116</v>
      </c>
      <c r="DA211" s="20">
        <v>0</v>
      </c>
    </row>
    <row r="212" spans="1:106" s="86" customFormat="1" ht="31.5" x14ac:dyDescent="0.25">
      <c r="A212" s="73" t="s">
        <v>603</v>
      </c>
      <c r="B212" s="25" t="s">
        <v>1</v>
      </c>
      <c r="C212" s="26" t="s">
        <v>605</v>
      </c>
      <c r="D212" s="27">
        <f>SUM(D213)</f>
        <v>136935</v>
      </c>
      <c r="E212" s="27">
        <f t="shared" si="657"/>
        <v>0</v>
      </c>
      <c r="F212" s="27">
        <f t="shared" si="657"/>
        <v>0</v>
      </c>
      <c r="G212" s="27">
        <f t="shared" si="657"/>
        <v>0</v>
      </c>
      <c r="H212" s="27">
        <f t="shared" si="657"/>
        <v>0</v>
      </c>
      <c r="I212" s="27">
        <f t="shared" si="657"/>
        <v>0</v>
      </c>
      <c r="J212" s="27">
        <f t="shared" si="657"/>
        <v>0</v>
      </c>
      <c r="K212" s="27">
        <f t="shared" si="657"/>
        <v>0</v>
      </c>
      <c r="L212" s="27">
        <f t="shared" si="657"/>
        <v>0</v>
      </c>
      <c r="M212" s="27">
        <f t="shared" si="657"/>
        <v>0</v>
      </c>
      <c r="N212" s="27">
        <f t="shared" si="657"/>
        <v>0</v>
      </c>
      <c r="O212" s="27">
        <f t="shared" si="657"/>
        <v>0</v>
      </c>
      <c r="P212" s="27">
        <f t="shared" si="657"/>
        <v>0</v>
      </c>
      <c r="Q212" s="27">
        <f t="shared" si="657"/>
        <v>0</v>
      </c>
      <c r="R212" s="27">
        <f t="shared" si="657"/>
        <v>0</v>
      </c>
      <c r="S212" s="27">
        <f t="shared" si="657"/>
        <v>0</v>
      </c>
      <c r="T212" s="27">
        <f t="shared" si="657"/>
        <v>0</v>
      </c>
      <c r="U212" s="27">
        <f t="shared" si="657"/>
        <v>0</v>
      </c>
      <c r="V212" s="27">
        <f t="shared" si="657"/>
        <v>0</v>
      </c>
      <c r="W212" s="27">
        <f t="shared" si="657"/>
        <v>0</v>
      </c>
      <c r="X212" s="27">
        <f t="shared" si="657"/>
        <v>0</v>
      </c>
      <c r="Y212" s="27">
        <f t="shared" si="657"/>
        <v>0</v>
      </c>
      <c r="Z212" s="27">
        <f t="shared" si="657"/>
        <v>0</v>
      </c>
      <c r="AA212" s="27">
        <f t="shared" si="657"/>
        <v>0</v>
      </c>
      <c r="AB212" s="27">
        <f t="shared" si="657"/>
        <v>0</v>
      </c>
      <c r="AC212" s="27">
        <f t="shared" si="657"/>
        <v>0</v>
      </c>
      <c r="AD212" s="27">
        <f t="shared" si="657"/>
        <v>0</v>
      </c>
      <c r="AE212" s="27">
        <f t="shared" si="657"/>
        <v>0</v>
      </c>
      <c r="AF212" s="27">
        <f t="shared" si="657"/>
        <v>0</v>
      </c>
      <c r="AG212" s="27">
        <f t="shared" si="657"/>
        <v>0</v>
      </c>
      <c r="AH212" s="27">
        <f t="shared" si="657"/>
        <v>0</v>
      </c>
      <c r="AI212" s="27">
        <f t="shared" si="657"/>
        <v>0</v>
      </c>
      <c r="AJ212" s="27">
        <f t="shared" si="657"/>
        <v>0</v>
      </c>
      <c r="AK212" s="27">
        <f t="shared" si="657"/>
        <v>0</v>
      </c>
      <c r="AL212" s="27">
        <f t="shared" si="657"/>
        <v>0</v>
      </c>
      <c r="AM212" s="27">
        <f t="shared" si="657"/>
        <v>0</v>
      </c>
      <c r="AN212" s="27">
        <f t="shared" si="657"/>
        <v>0</v>
      </c>
      <c r="AO212" s="27">
        <f t="shared" si="657"/>
        <v>0</v>
      </c>
      <c r="AP212" s="27">
        <f t="shared" si="657"/>
        <v>0</v>
      </c>
      <c r="AQ212" s="27"/>
      <c r="AR212" s="27">
        <f t="shared" si="657"/>
        <v>0</v>
      </c>
      <c r="AS212" s="27">
        <f t="shared" si="657"/>
        <v>0</v>
      </c>
      <c r="AT212" s="27">
        <f t="shared" si="657"/>
        <v>0</v>
      </c>
      <c r="AU212" s="27"/>
      <c r="AV212" s="27"/>
      <c r="AW212" s="27">
        <f t="shared" si="657"/>
        <v>0</v>
      </c>
      <c r="AX212" s="27">
        <f t="shared" si="657"/>
        <v>0</v>
      </c>
      <c r="AY212" s="27">
        <f>SUM(AY213)</f>
        <v>0</v>
      </c>
      <c r="AZ212" s="27"/>
      <c r="BA212" s="27">
        <f t="shared" si="657"/>
        <v>0</v>
      </c>
      <c r="BB212" s="27">
        <f t="shared" si="657"/>
        <v>0</v>
      </c>
      <c r="BC212" s="27">
        <f t="shared" si="657"/>
        <v>0</v>
      </c>
      <c r="BD212" s="27">
        <f t="shared" si="657"/>
        <v>0</v>
      </c>
      <c r="BE212" s="27">
        <f t="shared" si="657"/>
        <v>0</v>
      </c>
      <c r="BF212" s="27">
        <f t="shared" si="657"/>
        <v>0</v>
      </c>
      <c r="BG212" s="27">
        <f t="shared" si="657"/>
        <v>0</v>
      </c>
      <c r="BH212" s="27">
        <f t="shared" si="657"/>
        <v>0</v>
      </c>
      <c r="BI212" s="27">
        <f t="shared" si="657"/>
        <v>0</v>
      </c>
      <c r="BJ212" s="27">
        <f t="shared" si="657"/>
        <v>0</v>
      </c>
      <c r="BK212" s="27">
        <f t="shared" si="657"/>
        <v>0</v>
      </c>
      <c r="BL212" s="27">
        <f t="shared" si="657"/>
        <v>0</v>
      </c>
      <c r="BM212" s="27">
        <f t="shared" si="657"/>
        <v>0</v>
      </c>
      <c r="BN212" s="27">
        <f t="shared" si="658"/>
        <v>0</v>
      </c>
      <c r="BO212" s="27">
        <f t="shared" si="657"/>
        <v>0</v>
      </c>
      <c r="BP212" s="27">
        <f t="shared" si="657"/>
        <v>0</v>
      </c>
      <c r="BQ212" s="27">
        <f t="shared" si="657"/>
        <v>0</v>
      </c>
      <c r="BR212" s="27">
        <f t="shared" si="657"/>
        <v>0</v>
      </c>
      <c r="BS212" s="27">
        <f t="shared" si="657"/>
        <v>0</v>
      </c>
      <c r="BT212" s="27">
        <f t="shared" si="657"/>
        <v>0</v>
      </c>
      <c r="BU212" s="27">
        <f t="shared" si="657"/>
        <v>0</v>
      </c>
      <c r="BV212" s="27">
        <f t="shared" si="659"/>
        <v>0</v>
      </c>
      <c r="BW212" s="27">
        <f t="shared" si="659"/>
        <v>0</v>
      </c>
      <c r="BX212" s="27">
        <f t="shared" si="659"/>
        <v>0</v>
      </c>
      <c r="BY212" s="27">
        <f t="shared" si="659"/>
        <v>0</v>
      </c>
      <c r="BZ212" s="27">
        <f t="shared" si="659"/>
        <v>0</v>
      </c>
      <c r="CA212" s="27">
        <f t="shared" si="659"/>
        <v>136935</v>
      </c>
      <c r="CB212" s="27">
        <f t="shared" si="659"/>
        <v>0</v>
      </c>
      <c r="CC212" s="27">
        <f t="shared" si="659"/>
        <v>0</v>
      </c>
      <c r="CD212" s="27">
        <f t="shared" si="659"/>
        <v>0</v>
      </c>
      <c r="CE212" s="27">
        <f t="shared" si="659"/>
        <v>0</v>
      </c>
      <c r="CF212" s="27">
        <f t="shared" si="659"/>
        <v>0</v>
      </c>
      <c r="CG212" s="27">
        <f t="shared" si="659"/>
        <v>0</v>
      </c>
      <c r="CH212" s="27">
        <f t="shared" si="659"/>
        <v>0</v>
      </c>
      <c r="CI212" s="27">
        <f t="shared" si="659"/>
        <v>0</v>
      </c>
      <c r="CJ212" s="27">
        <f t="shared" si="659"/>
        <v>0</v>
      </c>
      <c r="CK212" s="27">
        <f t="shared" si="659"/>
        <v>0</v>
      </c>
      <c r="CL212" s="27">
        <f t="shared" si="659"/>
        <v>0</v>
      </c>
      <c r="CM212" s="27">
        <f t="shared" si="659"/>
        <v>0</v>
      </c>
      <c r="CN212" s="27">
        <f t="shared" si="659"/>
        <v>0</v>
      </c>
      <c r="CO212" s="27">
        <f t="shared" si="659"/>
        <v>0</v>
      </c>
      <c r="CP212" s="27"/>
      <c r="CQ212" s="27"/>
      <c r="CR212" s="27">
        <f>CR213</f>
        <v>136935</v>
      </c>
      <c r="CS212" s="27">
        <f>CS213</f>
        <v>136935</v>
      </c>
      <c r="CT212" s="27">
        <f t="shared" si="659"/>
        <v>0</v>
      </c>
      <c r="CU212" s="27"/>
      <c r="CV212" s="27"/>
      <c r="CW212" s="27"/>
      <c r="CX212" s="27">
        <f t="shared" si="659"/>
        <v>0</v>
      </c>
      <c r="CY212" s="27">
        <f t="shared" si="659"/>
        <v>0</v>
      </c>
      <c r="CZ212" s="27">
        <f t="shared" si="659"/>
        <v>0</v>
      </c>
      <c r="DA212" s="55">
        <f t="shared" si="659"/>
        <v>0</v>
      </c>
      <c r="DB212" s="85"/>
    </row>
    <row r="213" spans="1:106" s="86" customFormat="1" ht="15.75" x14ac:dyDescent="0.25">
      <c r="A213" s="71" t="s">
        <v>604</v>
      </c>
      <c r="B213" s="16" t="s">
        <v>1</v>
      </c>
      <c r="C213" s="17" t="s">
        <v>606</v>
      </c>
      <c r="D213" s="18">
        <f>SUM(D214)</f>
        <v>136935</v>
      </c>
      <c r="E213" s="18">
        <f t="shared" si="657"/>
        <v>0</v>
      </c>
      <c r="F213" s="18">
        <f t="shared" si="657"/>
        <v>0</v>
      </c>
      <c r="G213" s="18">
        <f t="shared" si="657"/>
        <v>0</v>
      </c>
      <c r="H213" s="18">
        <f t="shared" si="657"/>
        <v>0</v>
      </c>
      <c r="I213" s="18">
        <f t="shared" si="657"/>
        <v>0</v>
      </c>
      <c r="J213" s="18">
        <f t="shared" si="657"/>
        <v>0</v>
      </c>
      <c r="K213" s="18">
        <f t="shared" si="657"/>
        <v>0</v>
      </c>
      <c r="L213" s="18">
        <f t="shared" si="657"/>
        <v>0</v>
      </c>
      <c r="M213" s="18">
        <f t="shared" si="657"/>
        <v>0</v>
      </c>
      <c r="N213" s="18">
        <f t="shared" si="657"/>
        <v>0</v>
      </c>
      <c r="O213" s="18">
        <f t="shared" si="657"/>
        <v>0</v>
      </c>
      <c r="P213" s="18">
        <f t="shared" si="657"/>
        <v>0</v>
      </c>
      <c r="Q213" s="18">
        <f t="shared" si="657"/>
        <v>0</v>
      </c>
      <c r="R213" s="18">
        <f t="shared" si="657"/>
        <v>0</v>
      </c>
      <c r="S213" s="18">
        <f t="shared" si="657"/>
        <v>0</v>
      </c>
      <c r="T213" s="18">
        <f t="shared" si="657"/>
        <v>0</v>
      </c>
      <c r="U213" s="18">
        <f t="shared" si="657"/>
        <v>0</v>
      </c>
      <c r="V213" s="18">
        <f t="shared" si="657"/>
        <v>0</v>
      </c>
      <c r="W213" s="18">
        <f t="shared" si="657"/>
        <v>0</v>
      </c>
      <c r="X213" s="18">
        <f t="shared" si="657"/>
        <v>0</v>
      </c>
      <c r="Y213" s="18">
        <f t="shared" si="657"/>
        <v>0</v>
      </c>
      <c r="Z213" s="18">
        <f t="shared" si="657"/>
        <v>0</v>
      </c>
      <c r="AA213" s="18">
        <f t="shared" si="657"/>
        <v>0</v>
      </c>
      <c r="AB213" s="18">
        <f t="shared" si="657"/>
        <v>0</v>
      </c>
      <c r="AC213" s="18">
        <f t="shared" si="657"/>
        <v>0</v>
      </c>
      <c r="AD213" s="18">
        <f t="shared" si="657"/>
        <v>0</v>
      </c>
      <c r="AE213" s="18">
        <f t="shared" si="657"/>
        <v>0</v>
      </c>
      <c r="AF213" s="18">
        <f t="shared" si="657"/>
        <v>0</v>
      </c>
      <c r="AG213" s="18">
        <f t="shared" si="657"/>
        <v>0</v>
      </c>
      <c r="AH213" s="18">
        <f t="shared" si="657"/>
        <v>0</v>
      </c>
      <c r="AI213" s="18">
        <f t="shared" si="657"/>
        <v>0</v>
      </c>
      <c r="AJ213" s="18">
        <f t="shared" si="657"/>
        <v>0</v>
      </c>
      <c r="AK213" s="18">
        <f t="shared" si="657"/>
        <v>0</v>
      </c>
      <c r="AL213" s="18">
        <f t="shared" si="657"/>
        <v>0</v>
      </c>
      <c r="AM213" s="18">
        <f t="shared" si="657"/>
        <v>0</v>
      </c>
      <c r="AN213" s="18">
        <f t="shared" si="657"/>
        <v>0</v>
      </c>
      <c r="AO213" s="18">
        <f t="shared" si="657"/>
        <v>0</v>
      </c>
      <c r="AP213" s="18">
        <f t="shared" si="657"/>
        <v>0</v>
      </c>
      <c r="AQ213" s="18"/>
      <c r="AR213" s="18">
        <f t="shared" si="657"/>
        <v>0</v>
      </c>
      <c r="AS213" s="18">
        <f t="shared" si="657"/>
        <v>0</v>
      </c>
      <c r="AT213" s="18">
        <f t="shared" si="657"/>
        <v>0</v>
      </c>
      <c r="AU213" s="18"/>
      <c r="AV213" s="18"/>
      <c r="AW213" s="18">
        <f t="shared" si="657"/>
        <v>0</v>
      </c>
      <c r="AX213" s="18">
        <f t="shared" si="657"/>
        <v>0</v>
      </c>
      <c r="AY213" s="18">
        <f>SUM(AY214)</f>
        <v>0</v>
      </c>
      <c r="AZ213" s="18"/>
      <c r="BA213" s="18">
        <f t="shared" si="657"/>
        <v>0</v>
      </c>
      <c r="BB213" s="18">
        <f t="shared" si="657"/>
        <v>0</v>
      </c>
      <c r="BC213" s="18">
        <f t="shared" si="657"/>
        <v>0</v>
      </c>
      <c r="BD213" s="18">
        <f t="shared" si="657"/>
        <v>0</v>
      </c>
      <c r="BE213" s="18">
        <f t="shared" si="657"/>
        <v>0</v>
      </c>
      <c r="BF213" s="18">
        <f t="shared" si="657"/>
        <v>0</v>
      </c>
      <c r="BG213" s="18">
        <f t="shared" si="657"/>
        <v>0</v>
      </c>
      <c r="BH213" s="18">
        <f t="shared" si="657"/>
        <v>0</v>
      </c>
      <c r="BI213" s="18">
        <f t="shared" si="657"/>
        <v>0</v>
      </c>
      <c r="BJ213" s="18">
        <f t="shared" si="657"/>
        <v>0</v>
      </c>
      <c r="BK213" s="18">
        <f t="shared" si="657"/>
        <v>0</v>
      </c>
      <c r="BL213" s="18">
        <f t="shared" si="657"/>
        <v>0</v>
      </c>
      <c r="BM213" s="18">
        <f t="shared" si="657"/>
        <v>0</v>
      </c>
      <c r="BN213" s="18">
        <f t="shared" si="658"/>
        <v>0</v>
      </c>
      <c r="BO213" s="18">
        <f t="shared" si="657"/>
        <v>0</v>
      </c>
      <c r="BP213" s="18">
        <f t="shared" si="657"/>
        <v>0</v>
      </c>
      <c r="BQ213" s="18">
        <f t="shared" si="657"/>
        <v>0</v>
      </c>
      <c r="BR213" s="18">
        <f t="shared" si="657"/>
        <v>0</v>
      </c>
      <c r="BS213" s="18">
        <f t="shared" si="657"/>
        <v>0</v>
      </c>
      <c r="BT213" s="18">
        <f t="shared" si="657"/>
        <v>0</v>
      </c>
      <c r="BU213" s="18">
        <f t="shared" si="657"/>
        <v>0</v>
      </c>
      <c r="BV213" s="18">
        <f t="shared" si="659"/>
        <v>0</v>
      </c>
      <c r="BW213" s="18">
        <f t="shared" si="659"/>
        <v>0</v>
      </c>
      <c r="BX213" s="18">
        <f t="shared" si="659"/>
        <v>0</v>
      </c>
      <c r="BY213" s="18">
        <f t="shared" si="659"/>
        <v>0</v>
      </c>
      <c r="BZ213" s="18">
        <f t="shared" si="659"/>
        <v>0</v>
      </c>
      <c r="CA213" s="18">
        <f t="shared" si="659"/>
        <v>136935</v>
      </c>
      <c r="CB213" s="18">
        <f t="shared" si="659"/>
        <v>0</v>
      </c>
      <c r="CC213" s="18">
        <f t="shared" si="659"/>
        <v>0</v>
      </c>
      <c r="CD213" s="18">
        <f t="shared" si="659"/>
        <v>0</v>
      </c>
      <c r="CE213" s="18">
        <f t="shared" si="659"/>
        <v>0</v>
      </c>
      <c r="CF213" s="18">
        <f t="shared" si="659"/>
        <v>0</v>
      </c>
      <c r="CG213" s="18">
        <f t="shared" si="659"/>
        <v>0</v>
      </c>
      <c r="CH213" s="18">
        <f t="shared" si="659"/>
        <v>0</v>
      </c>
      <c r="CI213" s="18">
        <f t="shared" si="659"/>
        <v>0</v>
      </c>
      <c r="CJ213" s="18">
        <f t="shared" si="659"/>
        <v>0</v>
      </c>
      <c r="CK213" s="18">
        <f t="shared" si="659"/>
        <v>0</v>
      </c>
      <c r="CL213" s="18">
        <f t="shared" si="659"/>
        <v>0</v>
      </c>
      <c r="CM213" s="18">
        <f t="shared" si="659"/>
        <v>0</v>
      </c>
      <c r="CN213" s="18">
        <f t="shared" si="659"/>
        <v>0</v>
      </c>
      <c r="CO213" s="18">
        <f t="shared" si="659"/>
        <v>0</v>
      </c>
      <c r="CP213" s="18"/>
      <c r="CQ213" s="18"/>
      <c r="CR213" s="18">
        <f>CR214</f>
        <v>136935</v>
      </c>
      <c r="CS213" s="18">
        <f>CS214</f>
        <v>136935</v>
      </c>
      <c r="CT213" s="18">
        <f t="shared" si="659"/>
        <v>0</v>
      </c>
      <c r="CU213" s="18"/>
      <c r="CV213" s="18"/>
      <c r="CW213" s="18"/>
      <c r="CX213" s="18">
        <f t="shared" si="659"/>
        <v>0</v>
      </c>
      <c r="CY213" s="18">
        <f t="shared" si="659"/>
        <v>0</v>
      </c>
      <c r="CZ213" s="18">
        <f t="shared" si="659"/>
        <v>0</v>
      </c>
      <c r="DA213" s="46">
        <f t="shared" si="659"/>
        <v>0</v>
      </c>
      <c r="DB213" s="85"/>
    </row>
    <row r="214" spans="1:106" ht="15.75" x14ac:dyDescent="0.25">
      <c r="A214" s="72" t="s">
        <v>1</v>
      </c>
      <c r="B214" s="21" t="s">
        <v>101</v>
      </c>
      <c r="C214" s="22" t="s">
        <v>606</v>
      </c>
      <c r="D214" s="18">
        <f>SUM(E214+CA214+CX214)</f>
        <v>136935</v>
      </c>
      <c r="E214" s="19">
        <f>SUM(F214+BB214)</f>
        <v>0</v>
      </c>
      <c r="F214" s="19">
        <f>SUM(G214+H214+I214+P214+S214+T214+U214+AE214)</f>
        <v>0</v>
      </c>
      <c r="G214" s="19">
        <v>0</v>
      </c>
      <c r="H214" s="19">
        <v>0</v>
      </c>
      <c r="I214" s="19">
        <f t="shared" ref="I214" si="661">SUM(J214:O214)</f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f t="shared" ref="P214" si="662">SUM(Q214:R214)</f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f t="shared" ref="U214" si="663">SUM(V214:AC214)</f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f>SUM(AF214:BA214)</f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/>
      <c r="AR214" s="19">
        <v>0</v>
      </c>
      <c r="AS214" s="19">
        <v>0</v>
      </c>
      <c r="AT214" s="19">
        <v>0</v>
      </c>
      <c r="AU214" s="19"/>
      <c r="AV214" s="19"/>
      <c r="AW214" s="19">
        <v>0</v>
      </c>
      <c r="AX214" s="19">
        <v>0</v>
      </c>
      <c r="AY214" s="19">
        <v>0</v>
      </c>
      <c r="AZ214" s="19"/>
      <c r="BA214" s="19">
        <v>0</v>
      </c>
      <c r="BB214" s="19">
        <f>SUM(BC214+BG214+BJ214+BL214+BO214)</f>
        <v>0</v>
      </c>
      <c r="BC214" s="19">
        <f>SUM(BD214:BF214)</f>
        <v>0</v>
      </c>
      <c r="BD214" s="19">
        <v>0</v>
      </c>
      <c r="BE214" s="19">
        <v>0</v>
      </c>
      <c r="BF214" s="19">
        <v>0</v>
      </c>
      <c r="BG214" s="19">
        <f>SUM(BI214:BI214)</f>
        <v>0</v>
      </c>
      <c r="BH214" s="19">
        <v>0</v>
      </c>
      <c r="BI214" s="19">
        <v>0</v>
      </c>
      <c r="BJ214" s="19">
        <v>0</v>
      </c>
      <c r="BK214" s="19">
        <v>0</v>
      </c>
      <c r="BL214" s="19">
        <f t="shared" ref="BL214" si="664">SUM(BM214)</f>
        <v>0</v>
      </c>
      <c r="BM214" s="19">
        <v>0</v>
      </c>
      <c r="BN214" s="19">
        <v>0</v>
      </c>
      <c r="BO214" s="19">
        <f>SUM(BP214:BZ214)</f>
        <v>0</v>
      </c>
      <c r="BP214" s="19">
        <v>0</v>
      </c>
      <c r="BQ214" s="19">
        <v>0</v>
      </c>
      <c r="BR214" s="19">
        <v>0</v>
      </c>
      <c r="BS214" s="19">
        <v>0</v>
      </c>
      <c r="BT214" s="19">
        <v>0</v>
      </c>
      <c r="BU214" s="19">
        <v>0</v>
      </c>
      <c r="BV214" s="19">
        <v>0</v>
      </c>
      <c r="BW214" s="19">
        <v>0</v>
      </c>
      <c r="BX214" s="19">
        <v>0</v>
      </c>
      <c r="BY214" s="19">
        <v>0</v>
      </c>
      <c r="BZ214" s="19">
        <v>0</v>
      </c>
      <c r="CA214" s="19">
        <f>SUM(CB214+CT214)+CR214</f>
        <v>136935</v>
      </c>
      <c r="CB214" s="19">
        <f>SUM(CC214+CF214+CL214)</f>
        <v>0</v>
      </c>
      <c r="CC214" s="19">
        <f t="shared" ref="CC214" si="665">SUM(CD214:CE214)</f>
        <v>0</v>
      </c>
      <c r="CD214" s="19">
        <v>0</v>
      </c>
      <c r="CE214" s="19">
        <v>0</v>
      </c>
      <c r="CF214" s="19">
        <f>SUM(CG214:CK214)</f>
        <v>0</v>
      </c>
      <c r="CG214" s="19">
        <v>0</v>
      </c>
      <c r="CH214" s="19">
        <v>0</v>
      </c>
      <c r="CI214" s="19">
        <v>0</v>
      </c>
      <c r="CJ214" s="19">
        <v>0</v>
      </c>
      <c r="CK214" s="19">
        <v>0</v>
      </c>
      <c r="CL214" s="19">
        <f>SUM(CM214:CQ214)</f>
        <v>0</v>
      </c>
      <c r="CM214" s="19">
        <v>0</v>
      </c>
      <c r="CN214" s="19">
        <v>0</v>
      </c>
      <c r="CO214" s="19">
        <v>0</v>
      </c>
      <c r="CP214" s="19"/>
      <c r="CQ214" s="19"/>
      <c r="CR214" s="19">
        <f>CS214</f>
        <v>136935</v>
      </c>
      <c r="CS214" s="19">
        <f>0+61520+75415</f>
        <v>136935</v>
      </c>
      <c r="CT214" s="19">
        <v>0</v>
      </c>
      <c r="CU214" s="19"/>
      <c r="CV214" s="19"/>
      <c r="CW214" s="19"/>
      <c r="CX214" s="19">
        <f t="shared" ref="CX214" si="666">SUM(CY214)</f>
        <v>0</v>
      </c>
      <c r="CY214" s="19">
        <f t="shared" ref="CY214" si="667">SUM(CZ214:DA214)</f>
        <v>0</v>
      </c>
      <c r="CZ214" s="23"/>
      <c r="DA214" s="20">
        <v>0</v>
      </c>
    </row>
    <row r="215" spans="1:106" s="86" customFormat="1" ht="31.5" x14ac:dyDescent="0.25">
      <c r="A215" s="73" t="s">
        <v>302</v>
      </c>
      <c r="B215" s="25" t="s">
        <v>1</v>
      </c>
      <c r="C215" s="26" t="s">
        <v>303</v>
      </c>
      <c r="D215" s="27">
        <f>SUM(D216)</f>
        <v>297475160</v>
      </c>
      <c r="E215" s="27">
        <f t="shared" ref="E215:BU215" si="668">SUM(E216)</f>
        <v>297475160</v>
      </c>
      <c r="F215" s="27">
        <f t="shared" si="668"/>
        <v>0</v>
      </c>
      <c r="G215" s="27">
        <f t="shared" si="668"/>
        <v>0</v>
      </c>
      <c r="H215" s="27">
        <f t="shared" si="668"/>
        <v>0</v>
      </c>
      <c r="I215" s="27">
        <f t="shared" si="668"/>
        <v>0</v>
      </c>
      <c r="J215" s="27">
        <f t="shared" si="668"/>
        <v>0</v>
      </c>
      <c r="K215" s="27">
        <f t="shared" si="668"/>
        <v>0</v>
      </c>
      <c r="L215" s="27">
        <f t="shared" si="668"/>
        <v>0</v>
      </c>
      <c r="M215" s="27">
        <f t="shared" si="668"/>
        <v>0</v>
      </c>
      <c r="N215" s="27">
        <f t="shared" si="668"/>
        <v>0</v>
      </c>
      <c r="O215" s="27">
        <f t="shared" si="668"/>
        <v>0</v>
      </c>
      <c r="P215" s="27">
        <f t="shared" si="668"/>
        <v>0</v>
      </c>
      <c r="Q215" s="27">
        <f t="shared" si="668"/>
        <v>0</v>
      </c>
      <c r="R215" s="27">
        <f t="shared" si="668"/>
        <v>0</v>
      </c>
      <c r="S215" s="27">
        <f t="shared" si="668"/>
        <v>0</v>
      </c>
      <c r="T215" s="27">
        <f t="shared" si="668"/>
        <v>0</v>
      </c>
      <c r="U215" s="27">
        <f t="shared" si="668"/>
        <v>0</v>
      </c>
      <c r="V215" s="27">
        <f t="shared" si="668"/>
        <v>0</v>
      </c>
      <c r="W215" s="27">
        <f t="shared" si="668"/>
        <v>0</v>
      </c>
      <c r="X215" s="27">
        <f t="shared" si="668"/>
        <v>0</v>
      </c>
      <c r="Y215" s="27">
        <f t="shared" si="668"/>
        <v>0</v>
      </c>
      <c r="Z215" s="27">
        <f t="shared" si="668"/>
        <v>0</v>
      </c>
      <c r="AA215" s="27">
        <f t="shared" si="668"/>
        <v>0</v>
      </c>
      <c r="AB215" s="27">
        <f t="shared" si="668"/>
        <v>0</v>
      </c>
      <c r="AC215" s="27">
        <f t="shared" si="668"/>
        <v>0</v>
      </c>
      <c r="AD215" s="27">
        <f t="shared" si="668"/>
        <v>0</v>
      </c>
      <c r="AE215" s="27">
        <f t="shared" si="668"/>
        <v>0</v>
      </c>
      <c r="AF215" s="27">
        <f t="shared" si="668"/>
        <v>0</v>
      </c>
      <c r="AG215" s="27">
        <f t="shared" si="668"/>
        <v>0</v>
      </c>
      <c r="AH215" s="27">
        <f t="shared" si="668"/>
        <v>0</v>
      </c>
      <c r="AI215" s="27">
        <f t="shared" si="668"/>
        <v>0</v>
      </c>
      <c r="AJ215" s="27">
        <f t="shared" si="668"/>
        <v>0</v>
      </c>
      <c r="AK215" s="27">
        <f t="shared" si="668"/>
        <v>0</v>
      </c>
      <c r="AL215" s="27">
        <f t="shared" si="668"/>
        <v>0</v>
      </c>
      <c r="AM215" s="27">
        <f t="shared" si="668"/>
        <v>0</v>
      </c>
      <c r="AN215" s="27">
        <f t="shared" si="668"/>
        <v>0</v>
      </c>
      <c r="AO215" s="27">
        <f t="shared" si="668"/>
        <v>0</v>
      </c>
      <c r="AP215" s="27">
        <f t="shared" si="668"/>
        <v>0</v>
      </c>
      <c r="AQ215" s="27"/>
      <c r="AR215" s="27">
        <f t="shared" si="668"/>
        <v>0</v>
      </c>
      <c r="AS215" s="27">
        <f t="shared" si="668"/>
        <v>0</v>
      </c>
      <c r="AT215" s="27">
        <f t="shared" si="668"/>
        <v>0</v>
      </c>
      <c r="AU215" s="27"/>
      <c r="AV215" s="27"/>
      <c r="AW215" s="27">
        <f t="shared" si="668"/>
        <v>0</v>
      </c>
      <c r="AX215" s="27">
        <f t="shared" si="668"/>
        <v>0</v>
      </c>
      <c r="AY215" s="27">
        <f t="shared" si="668"/>
        <v>0</v>
      </c>
      <c r="AZ215" s="27"/>
      <c r="BA215" s="27">
        <f t="shared" si="668"/>
        <v>0</v>
      </c>
      <c r="BB215" s="27">
        <f t="shared" si="668"/>
        <v>297475160</v>
      </c>
      <c r="BC215" s="27">
        <f t="shared" si="668"/>
        <v>1642671</v>
      </c>
      <c r="BD215" s="27">
        <f t="shared" si="668"/>
        <v>1642671</v>
      </c>
      <c r="BE215" s="27">
        <f t="shared" si="668"/>
        <v>0</v>
      </c>
      <c r="BF215" s="27">
        <f t="shared" si="668"/>
        <v>0</v>
      </c>
      <c r="BG215" s="27">
        <f t="shared" si="668"/>
        <v>0</v>
      </c>
      <c r="BH215" s="27">
        <f t="shared" si="668"/>
        <v>0</v>
      </c>
      <c r="BI215" s="27">
        <f t="shared" si="668"/>
        <v>0</v>
      </c>
      <c r="BJ215" s="27">
        <f t="shared" si="668"/>
        <v>295832489</v>
      </c>
      <c r="BK215" s="27">
        <f t="shared" si="668"/>
        <v>0</v>
      </c>
      <c r="BL215" s="27">
        <f t="shared" si="668"/>
        <v>0</v>
      </c>
      <c r="BM215" s="27">
        <f t="shared" si="668"/>
        <v>0</v>
      </c>
      <c r="BN215" s="27">
        <f t="shared" si="668"/>
        <v>0</v>
      </c>
      <c r="BO215" s="27">
        <f t="shared" si="668"/>
        <v>0</v>
      </c>
      <c r="BP215" s="27">
        <f t="shared" si="668"/>
        <v>0</v>
      </c>
      <c r="BQ215" s="27">
        <f t="shared" si="668"/>
        <v>0</v>
      </c>
      <c r="BR215" s="27">
        <f t="shared" si="668"/>
        <v>0</v>
      </c>
      <c r="BS215" s="27">
        <f t="shared" si="668"/>
        <v>0</v>
      </c>
      <c r="BT215" s="27">
        <f t="shared" si="668"/>
        <v>0</v>
      </c>
      <c r="BU215" s="27">
        <f t="shared" si="668"/>
        <v>0</v>
      </c>
      <c r="BV215" s="27">
        <f t="shared" ref="BV215:DA215" si="669">SUM(BV216)</f>
        <v>0</v>
      </c>
      <c r="BW215" s="27">
        <f t="shared" si="669"/>
        <v>0</v>
      </c>
      <c r="BX215" s="27">
        <f t="shared" si="669"/>
        <v>0</v>
      </c>
      <c r="BY215" s="27">
        <f t="shared" si="669"/>
        <v>0</v>
      </c>
      <c r="BZ215" s="27">
        <f t="shared" si="669"/>
        <v>0</v>
      </c>
      <c r="CA215" s="27">
        <f t="shared" si="669"/>
        <v>0</v>
      </c>
      <c r="CB215" s="27">
        <f t="shared" si="669"/>
        <v>0</v>
      </c>
      <c r="CC215" s="27">
        <f t="shared" si="669"/>
        <v>0</v>
      </c>
      <c r="CD215" s="27">
        <f t="shared" si="669"/>
        <v>0</v>
      </c>
      <c r="CE215" s="27">
        <f t="shared" si="669"/>
        <v>0</v>
      </c>
      <c r="CF215" s="27">
        <f t="shared" si="669"/>
        <v>0</v>
      </c>
      <c r="CG215" s="27">
        <f t="shared" si="669"/>
        <v>0</v>
      </c>
      <c r="CH215" s="27">
        <f t="shared" si="669"/>
        <v>0</v>
      </c>
      <c r="CI215" s="27">
        <f t="shared" si="669"/>
        <v>0</v>
      </c>
      <c r="CJ215" s="27">
        <f t="shared" si="669"/>
        <v>0</v>
      </c>
      <c r="CK215" s="27">
        <f t="shared" si="669"/>
        <v>0</v>
      </c>
      <c r="CL215" s="27">
        <f t="shared" si="669"/>
        <v>0</v>
      </c>
      <c r="CM215" s="27">
        <f t="shared" si="669"/>
        <v>0</v>
      </c>
      <c r="CN215" s="27">
        <f t="shared" si="669"/>
        <v>0</v>
      </c>
      <c r="CO215" s="27">
        <f t="shared" si="669"/>
        <v>0</v>
      </c>
      <c r="CP215" s="27"/>
      <c r="CQ215" s="27"/>
      <c r="CR215" s="27"/>
      <c r="CS215" s="27"/>
      <c r="CT215" s="27">
        <f t="shared" si="669"/>
        <v>0</v>
      </c>
      <c r="CU215" s="27"/>
      <c r="CV215" s="27"/>
      <c r="CW215" s="27"/>
      <c r="CX215" s="27">
        <f t="shared" si="669"/>
        <v>0</v>
      </c>
      <c r="CY215" s="27">
        <f t="shared" si="669"/>
        <v>0</v>
      </c>
      <c r="CZ215" s="27">
        <f t="shared" si="669"/>
        <v>0</v>
      </c>
      <c r="DA215" s="55">
        <f t="shared" si="669"/>
        <v>0</v>
      </c>
      <c r="DB215" s="85"/>
    </row>
    <row r="216" spans="1:106" s="86" customFormat="1" ht="31.5" x14ac:dyDescent="0.25">
      <c r="A216" s="71" t="s">
        <v>304</v>
      </c>
      <c r="B216" s="16" t="s">
        <v>1</v>
      </c>
      <c r="C216" s="17" t="s">
        <v>523</v>
      </c>
      <c r="D216" s="18">
        <f>SUM(D217:D218)</f>
        <v>297475160</v>
      </c>
      <c r="E216" s="18">
        <f t="shared" ref="E216:BU216" si="670">SUM(E217:E218)</f>
        <v>297475160</v>
      </c>
      <c r="F216" s="18">
        <f t="shared" si="670"/>
        <v>0</v>
      </c>
      <c r="G216" s="18">
        <f t="shared" si="670"/>
        <v>0</v>
      </c>
      <c r="H216" s="18">
        <f t="shared" si="670"/>
        <v>0</v>
      </c>
      <c r="I216" s="18">
        <f t="shared" si="670"/>
        <v>0</v>
      </c>
      <c r="J216" s="18">
        <f t="shared" si="670"/>
        <v>0</v>
      </c>
      <c r="K216" s="18">
        <f t="shared" si="670"/>
        <v>0</v>
      </c>
      <c r="L216" s="18">
        <f t="shared" si="670"/>
        <v>0</v>
      </c>
      <c r="M216" s="18">
        <f t="shared" si="670"/>
        <v>0</v>
      </c>
      <c r="N216" s="18">
        <f t="shared" si="670"/>
        <v>0</v>
      </c>
      <c r="O216" s="18">
        <f t="shared" si="670"/>
        <v>0</v>
      </c>
      <c r="P216" s="18">
        <f t="shared" si="670"/>
        <v>0</v>
      </c>
      <c r="Q216" s="18">
        <f t="shared" si="670"/>
        <v>0</v>
      </c>
      <c r="R216" s="18">
        <f t="shared" si="670"/>
        <v>0</v>
      </c>
      <c r="S216" s="18">
        <f t="shared" si="670"/>
        <v>0</v>
      </c>
      <c r="T216" s="18">
        <f t="shared" si="670"/>
        <v>0</v>
      </c>
      <c r="U216" s="18">
        <f t="shared" si="670"/>
        <v>0</v>
      </c>
      <c r="V216" s="18">
        <f t="shared" si="670"/>
        <v>0</v>
      </c>
      <c r="W216" s="18">
        <f t="shared" si="670"/>
        <v>0</v>
      </c>
      <c r="X216" s="18">
        <f t="shared" si="670"/>
        <v>0</v>
      </c>
      <c r="Y216" s="18">
        <f t="shared" si="670"/>
        <v>0</v>
      </c>
      <c r="Z216" s="18">
        <f t="shared" si="670"/>
        <v>0</v>
      </c>
      <c r="AA216" s="18">
        <f t="shared" si="670"/>
        <v>0</v>
      </c>
      <c r="AB216" s="18">
        <f t="shared" si="670"/>
        <v>0</v>
      </c>
      <c r="AC216" s="18">
        <f t="shared" si="670"/>
        <v>0</v>
      </c>
      <c r="AD216" s="18">
        <f t="shared" ref="AD216" si="671">SUM(AD217:AD218)</f>
        <v>0</v>
      </c>
      <c r="AE216" s="18">
        <f t="shared" si="670"/>
        <v>0</v>
      </c>
      <c r="AF216" s="18">
        <f t="shared" si="670"/>
        <v>0</v>
      </c>
      <c r="AG216" s="18">
        <f t="shared" si="670"/>
        <v>0</v>
      </c>
      <c r="AH216" s="18">
        <f t="shared" si="670"/>
        <v>0</v>
      </c>
      <c r="AI216" s="18">
        <f t="shared" si="670"/>
        <v>0</v>
      </c>
      <c r="AJ216" s="18">
        <f t="shared" si="670"/>
        <v>0</v>
      </c>
      <c r="AK216" s="18">
        <f t="shared" si="670"/>
        <v>0</v>
      </c>
      <c r="AL216" s="18">
        <f t="shared" si="670"/>
        <v>0</v>
      </c>
      <c r="AM216" s="18">
        <f t="shared" si="670"/>
        <v>0</v>
      </c>
      <c r="AN216" s="18">
        <f t="shared" si="670"/>
        <v>0</v>
      </c>
      <c r="AO216" s="18">
        <f t="shared" si="670"/>
        <v>0</v>
      </c>
      <c r="AP216" s="18">
        <f t="shared" si="670"/>
        <v>0</v>
      </c>
      <c r="AQ216" s="18"/>
      <c r="AR216" s="18">
        <f t="shared" si="670"/>
        <v>0</v>
      </c>
      <c r="AS216" s="18">
        <f t="shared" si="670"/>
        <v>0</v>
      </c>
      <c r="AT216" s="18">
        <f t="shared" si="670"/>
        <v>0</v>
      </c>
      <c r="AU216" s="18"/>
      <c r="AV216" s="18"/>
      <c r="AW216" s="18">
        <f t="shared" si="670"/>
        <v>0</v>
      </c>
      <c r="AX216" s="18">
        <f t="shared" si="670"/>
        <v>0</v>
      </c>
      <c r="AY216" s="18">
        <f t="shared" si="670"/>
        <v>0</v>
      </c>
      <c r="AZ216" s="18"/>
      <c r="BA216" s="18">
        <f t="shared" si="670"/>
        <v>0</v>
      </c>
      <c r="BB216" s="18">
        <f t="shared" si="670"/>
        <v>297475160</v>
      </c>
      <c r="BC216" s="18">
        <f t="shared" si="670"/>
        <v>1642671</v>
      </c>
      <c r="BD216" s="18">
        <f t="shared" si="670"/>
        <v>1642671</v>
      </c>
      <c r="BE216" s="18">
        <f t="shared" si="670"/>
        <v>0</v>
      </c>
      <c r="BF216" s="18">
        <f t="shared" si="670"/>
        <v>0</v>
      </c>
      <c r="BG216" s="18">
        <f t="shared" si="670"/>
        <v>0</v>
      </c>
      <c r="BH216" s="18">
        <f t="shared" si="670"/>
        <v>0</v>
      </c>
      <c r="BI216" s="18">
        <f t="shared" si="670"/>
        <v>0</v>
      </c>
      <c r="BJ216" s="18">
        <f t="shared" si="670"/>
        <v>295832489</v>
      </c>
      <c r="BK216" s="18">
        <f t="shared" ref="BK216" si="672">SUM(BK217:BK218)</f>
        <v>0</v>
      </c>
      <c r="BL216" s="18">
        <f t="shared" si="670"/>
        <v>0</v>
      </c>
      <c r="BM216" s="18">
        <f t="shared" si="670"/>
        <v>0</v>
      </c>
      <c r="BN216" s="18">
        <f t="shared" ref="BN216" si="673">SUM(BN217:BN218)</f>
        <v>0</v>
      </c>
      <c r="BO216" s="18">
        <f t="shared" si="670"/>
        <v>0</v>
      </c>
      <c r="BP216" s="18">
        <f t="shared" si="670"/>
        <v>0</v>
      </c>
      <c r="BQ216" s="18">
        <f t="shared" si="670"/>
        <v>0</v>
      </c>
      <c r="BR216" s="18">
        <f t="shared" si="670"/>
        <v>0</v>
      </c>
      <c r="BS216" s="18">
        <f t="shared" si="670"/>
        <v>0</v>
      </c>
      <c r="BT216" s="18">
        <f t="shared" si="670"/>
        <v>0</v>
      </c>
      <c r="BU216" s="18">
        <f t="shared" si="670"/>
        <v>0</v>
      </c>
      <c r="BV216" s="18">
        <f t="shared" ref="BV216:DA216" si="674">SUM(BV217:BV218)</f>
        <v>0</v>
      </c>
      <c r="BW216" s="18">
        <f t="shared" si="674"/>
        <v>0</v>
      </c>
      <c r="BX216" s="18">
        <f t="shared" si="674"/>
        <v>0</v>
      </c>
      <c r="BY216" s="18">
        <f t="shared" si="674"/>
        <v>0</v>
      </c>
      <c r="BZ216" s="18">
        <f t="shared" si="674"/>
        <v>0</v>
      </c>
      <c r="CA216" s="18">
        <f t="shared" si="674"/>
        <v>0</v>
      </c>
      <c r="CB216" s="18">
        <f t="shared" si="674"/>
        <v>0</v>
      </c>
      <c r="CC216" s="18">
        <f t="shared" si="674"/>
        <v>0</v>
      </c>
      <c r="CD216" s="18">
        <f t="shared" si="674"/>
        <v>0</v>
      </c>
      <c r="CE216" s="18">
        <f t="shared" si="674"/>
        <v>0</v>
      </c>
      <c r="CF216" s="18">
        <f t="shared" si="674"/>
        <v>0</v>
      </c>
      <c r="CG216" s="18">
        <f t="shared" si="674"/>
        <v>0</v>
      </c>
      <c r="CH216" s="18">
        <f t="shared" ref="CH216:CI216" si="675">SUM(CH217:CH218)</f>
        <v>0</v>
      </c>
      <c r="CI216" s="18">
        <f t="shared" si="675"/>
        <v>0</v>
      </c>
      <c r="CJ216" s="18">
        <f t="shared" si="674"/>
        <v>0</v>
      </c>
      <c r="CK216" s="18">
        <f t="shared" ref="CK216" si="676">SUM(CK217:CK218)</f>
        <v>0</v>
      </c>
      <c r="CL216" s="18">
        <f t="shared" si="674"/>
        <v>0</v>
      </c>
      <c r="CM216" s="18">
        <f t="shared" si="674"/>
        <v>0</v>
      </c>
      <c r="CN216" s="18">
        <f t="shared" ref="CN216" si="677">SUM(CN217:CN218)</f>
        <v>0</v>
      </c>
      <c r="CO216" s="18">
        <f t="shared" si="674"/>
        <v>0</v>
      </c>
      <c r="CP216" s="18"/>
      <c r="CQ216" s="18"/>
      <c r="CR216" s="18"/>
      <c r="CS216" s="18"/>
      <c r="CT216" s="18">
        <f t="shared" si="674"/>
        <v>0</v>
      </c>
      <c r="CU216" s="18"/>
      <c r="CV216" s="18"/>
      <c r="CW216" s="18"/>
      <c r="CX216" s="18">
        <f t="shared" si="674"/>
        <v>0</v>
      </c>
      <c r="CY216" s="18">
        <f t="shared" si="674"/>
        <v>0</v>
      </c>
      <c r="CZ216" s="18">
        <f t="shared" si="674"/>
        <v>0</v>
      </c>
      <c r="DA216" s="46">
        <f t="shared" si="674"/>
        <v>0</v>
      </c>
      <c r="DB216" s="85"/>
    </row>
    <row r="217" spans="1:106" ht="31.5" x14ac:dyDescent="0.25">
      <c r="A217" s="72" t="s">
        <v>1</v>
      </c>
      <c r="B217" s="34" t="s">
        <v>80</v>
      </c>
      <c r="C217" s="31" t="s">
        <v>305</v>
      </c>
      <c r="D217" s="18">
        <f>SUM(E217+CA217+CX217)</f>
        <v>1642671</v>
      </c>
      <c r="E217" s="19">
        <f>SUM(F217+BB217)</f>
        <v>1642671</v>
      </c>
      <c r="F217" s="19">
        <f t="shared" ref="F217:F218" si="678">SUM(G217+H217+I217+P217+S217+T217+U217+AE217)</f>
        <v>0</v>
      </c>
      <c r="G217" s="19">
        <v>0</v>
      </c>
      <c r="H217" s="19">
        <v>0</v>
      </c>
      <c r="I217" s="19">
        <f t="shared" si="376"/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f t="shared" si="377"/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f t="shared" ref="U217:U218" si="679">SUM(V217:AC217)</f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v>0</v>
      </c>
      <c r="AE217" s="19">
        <f>SUM(AF217:BA217)</f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>
        <v>0</v>
      </c>
      <c r="AQ217" s="19"/>
      <c r="AR217" s="19">
        <v>0</v>
      </c>
      <c r="AS217" s="19">
        <v>0</v>
      </c>
      <c r="AT217" s="19">
        <v>0</v>
      </c>
      <c r="AU217" s="19"/>
      <c r="AV217" s="19"/>
      <c r="AW217" s="19">
        <v>0</v>
      </c>
      <c r="AX217" s="19">
        <v>0</v>
      </c>
      <c r="AY217" s="19">
        <v>0</v>
      </c>
      <c r="AZ217" s="19"/>
      <c r="BA217" s="19">
        <v>0</v>
      </c>
      <c r="BB217" s="19">
        <f>SUM(BC217+BG217+BJ217+BL217+BO217)</f>
        <v>1642671</v>
      </c>
      <c r="BC217" s="19">
        <f>SUM(BD217:BF217)</f>
        <v>1642671</v>
      </c>
      <c r="BD217" s="23">
        <v>1642671</v>
      </c>
      <c r="BE217" s="19">
        <v>0</v>
      </c>
      <c r="BF217" s="19">
        <v>0</v>
      </c>
      <c r="BG217" s="19">
        <f>SUM(BI217:BI217)</f>
        <v>0</v>
      </c>
      <c r="BH217" s="19">
        <v>0</v>
      </c>
      <c r="BI217" s="19">
        <v>0</v>
      </c>
      <c r="BJ217" s="19"/>
      <c r="BK217" s="19">
        <v>0</v>
      </c>
      <c r="BL217" s="19">
        <f t="shared" si="379"/>
        <v>0</v>
      </c>
      <c r="BM217" s="19">
        <v>0</v>
      </c>
      <c r="BN217" s="19">
        <v>0</v>
      </c>
      <c r="BO217" s="19">
        <f>SUM(BP217:BZ217)</f>
        <v>0</v>
      </c>
      <c r="BP217" s="19">
        <v>0</v>
      </c>
      <c r="BQ217" s="19">
        <v>0</v>
      </c>
      <c r="BR217" s="19">
        <v>0</v>
      </c>
      <c r="BS217" s="19">
        <v>0</v>
      </c>
      <c r="BT217" s="19">
        <v>0</v>
      </c>
      <c r="BU217" s="19">
        <v>0</v>
      </c>
      <c r="BV217" s="19">
        <v>0</v>
      </c>
      <c r="BW217" s="19">
        <v>0</v>
      </c>
      <c r="BX217" s="19">
        <v>0</v>
      </c>
      <c r="BY217" s="19">
        <v>0</v>
      </c>
      <c r="BZ217" s="19">
        <v>0</v>
      </c>
      <c r="CA217" s="19">
        <f>SUM(CB217+CT217)</f>
        <v>0</v>
      </c>
      <c r="CB217" s="19">
        <f>SUM(CC217+CF217+CL217)</f>
        <v>0</v>
      </c>
      <c r="CC217" s="19">
        <f t="shared" si="380"/>
        <v>0</v>
      </c>
      <c r="CD217" s="19">
        <v>0</v>
      </c>
      <c r="CE217" s="19">
        <v>0</v>
      </c>
      <c r="CF217" s="19">
        <f>SUM(CG217:CK217)</f>
        <v>0</v>
      </c>
      <c r="CG217" s="19">
        <v>0</v>
      </c>
      <c r="CH217" s="19">
        <v>0</v>
      </c>
      <c r="CI217" s="19">
        <v>0</v>
      </c>
      <c r="CJ217" s="19">
        <v>0</v>
      </c>
      <c r="CK217" s="19">
        <v>0</v>
      </c>
      <c r="CL217" s="19">
        <f>SUM(CM217:CQ217)</f>
        <v>0</v>
      </c>
      <c r="CM217" s="19">
        <v>0</v>
      </c>
      <c r="CN217" s="19">
        <v>0</v>
      </c>
      <c r="CO217" s="19">
        <v>0</v>
      </c>
      <c r="CP217" s="19"/>
      <c r="CQ217" s="19"/>
      <c r="CR217" s="19"/>
      <c r="CS217" s="19"/>
      <c r="CT217" s="19">
        <v>0</v>
      </c>
      <c r="CU217" s="19"/>
      <c r="CV217" s="19"/>
      <c r="CW217" s="19"/>
      <c r="CX217" s="19">
        <f t="shared" si="382"/>
        <v>0</v>
      </c>
      <c r="CY217" s="19">
        <f t="shared" si="383"/>
        <v>0</v>
      </c>
      <c r="CZ217" s="19">
        <v>0</v>
      </c>
      <c r="DA217" s="20">
        <v>0</v>
      </c>
    </row>
    <row r="218" spans="1:106" ht="31.5" x14ac:dyDescent="0.25">
      <c r="A218" s="72" t="s">
        <v>1</v>
      </c>
      <c r="B218" s="34" t="s">
        <v>103</v>
      </c>
      <c r="C218" s="31" t="s">
        <v>485</v>
      </c>
      <c r="D218" s="18">
        <f>SUM(E218+CA218+CX218)</f>
        <v>295832489</v>
      </c>
      <c r="E218" s="19">
        <f>SUM(F218+BB218)</f>
        <v>295832489</v>
      </c>
      <c r="F218" s="19">
        <f t="shared" si="678"/>
        <v>0</v>
      </c>
      <c r="G218" s="19">
        <v>0</v>
      </c>
      <c r="H218" s="19">
        <v>0</v>
      </c>
      <c r="I218" s="19">
        <f t="shared" si="376"/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f t="shared" si="377"/>
        <v>0</v>
      </c>
      <c r="Q218" s="19">
        <v>0</v>
      </c>
      <c r="R218" s="19">
        <v>0</v>
      </c>
      <c r="S218" s="19">
        <v>0</v>
      </c>
      <c r="T218" s="19">
        <v>0</v>
      </c>
      <c r="U218" s="19">
        <f t="shared" si="679"/>
        <v>0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f>SUM(AF218:BA218)</f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/>
      <c r="AR218" s="19">
        <v>0</v>
      </c>
      <c r="AS218" s="19">
        <v>0</v>
      </c>
      <c r="AT218" s="19">
        <v>0</v>
      </c>
      <c r="AU218" s="19"/>
      <c r="AV218" s="19"/>
      <c r="AW218" s="19">
        <v>0</v>
      </c>
      <c r="AX218" s="19">
        <v>0</v>
      </c>
      <c r="AY218" s="19">
        <v>0</v>
      </c>
      <c r="AZ218" s="19"/>
      <c r="BA218" s="19">
        <v>0</v>
      </c>
      <c r="BB218" s="19">
        <f>SUM(BC218+BG218+BJ218+BL218+BO218)</f>
        <v>295832489</v>
      </c>
      <c r="BC218" s="19">
        <f>SUM(BD218:BF218)</f>
        <v>0</v>
      </c>
      <c r="BD218" s="19"/>
      <c r="BE218" s="19">
        <v>0</v>
      </c>
      <c r="BF218" s="19">
        <v>0</v>
      </c>
      <c r="BG218" s="19">
        <f>SUM(BI218:BI218)</f>
        <v>0</v>
      </c>
      <c r="BH218" s="19">
        <v>0</v>
      </c>
      <c r="BI218" s="19">
        <v>0</v>
      </c>
      <c r="BJ218" s="23">
        <f>227061849+107812817-40860400+1818223</f>
        <v>295832489</v>
      </c>
      <c r="BK218" s="19">
        <v>0</v>
      </c>
      <c r="BL218" s="19">
        <f t="shared" si="379"/>
        <v>0</v>
      </c>
      <c r="BM218" s="19">
        <v>0</v>
      </c>
      <c r="BN218" s="19">
        <v>0</v>
      </c>
      <c r="BO218" s="19">
        <f>SUM(BP218:BZ218)</f>
        <v>0</v>
      </c>
      <c r="BP218" s="19">
        <v>0</v>
      </c>
      <c r="BQ218" s="19">
        <v>0</v>
      </c>
      <c r="BR218" s="19">
        <v>0</v>
      </c>
      <c r="BS218" s="19">
        <v>0</v>
      </c>
      <c r="BT218" s="19">
        <v>0</v>
      </c>
      <c r="BU218" s="19">
        <v>0</v>
      </c>
      <c r="BV218" s="19">
        <v>0</v>
      </c>
      <c r="BW218" s="19">
        <v>0</v>
      </c>
      <c r="BX218" s="19">
        <v>0</v>
      </c>
      <c r="BY218" s="19">
        <v>0</v>
      </c>
      <c r="BZ218" s="19">
        <v>0</v>
      </c>
      <c r="CA218" s="19">
        <f>SUM(CB218+CT218)</f>
        <v>0</v>
      </c>
      <c r="CB218" s="19">
        <f>SUM(CC218+CF218+CL218)</f>
        <v>0</v>
      </c>
      <c r="CC218" s="19">
        <f t="shared" si="380"/>
        <v>0</v>
      </c>
      <c r="CD218" s="19">
        <v>0</v>
      </c>
      <c r="CE218" s="19">
        <v>0</v>
      </c>
      <c r="CF218" s="19">
        <f>SUM(CG218:CK218)</f>
        <v>0</v>
      </c>
      <c r="CG218" s="19">
        <v>0</v>
      </c>
      <c r="CH218" s="19">
        <v>0</v>
      </c>
      <c r="CI218" s="19">
        <v>0</v>
      </c>
      <c r="CJ218" s="19">
        <v>0</v>
      </c>
      <c r="CK218" s="19">
        <v>0</v>
      </c>
      <c r="CL218" s="19">
        <f>SUM(CM218:CQ218)</f>
        <v>0</v>
      </c>
      <c r="CM218" s="19">
        <v>0</v>
      </c>
      <c r="CN218" s="19">
        <v>0</v>
      </c>
      <c r="CO218" s="19">
        <v>0</v>
      </c>
      <c r="CP218" s="19"/>
      <c r="CQ218" s="19"/>
      <c r="CR218" s="19"/>
      <c r="CS218" s="19"/>
      <c r="CT218" s="19">
        <v>0</v>
      </c>
      <c r="CU218" s="19"/>
      <c r="CV218" s="19"/>
      <c r="CW218" s="19"/>
      <c r="CX218" s="19">
        <f t="shared" si="382"/>
        <v>0</v>
      </c>
      <c r="CY218" s="19">
        <f t="shared" si="383"/>
        <v>0</v>
      </c>
      <c r="CZ218" s="19">
        <v>0</v>
      </c>
      <c r="DA218" s="20">
        <v>0</v>
      </c>
    </row>
    <row r="219" spans="1:106" s="88" customFormat="1" ht="15.75" x14ac:dyDescent="0.25">
      <c r="A219" s="90" t="s">
        <v>306</v>
      </c>
      <c r="B219" s="91" t="s">
        <v>1</v>
      </c>
      <c r="C219" s="92" t="s">
        <v>307</v>
      </c>
      <c r="D219" s="93">
        <f>SUM(D220+D222+D225+D265+D282+D284)</f>
        <v>579061507</v>
      </c>
      <c r="E219" s="93">
        <f t="shared" ref="E219:AJ219" si="680">SUM(E220+E222+E225+E265+E282+E284)</f>
        <v>279773157</v>
      </c>
      <c r="F219" s="93">
        <f t="shared" si="680"/>
        <v>261281707</v>
      </c>
      <c r="G219" s="93">
        <f t="shared" si="680"/>
        <v>108031230</v>
      </c>
      <c r="H219" s="93">
        <f t="shared" si="680"/>
        <v>21631999</v>
      </c>
      <c r="I219" s="93">
        <f t="shared" si="680"/>
        <v>58048672</v>
      </c>
      <c r="J219" s="93">
        <f t="shared" si="680"/>
        <v>14566575</v>
      </c>
      <c r="K219" s="93">
        <f t="shared" si="680"/>
        <v>1689457</v>
      </c>
      <c r="L219" s="93">
        <f t="shared" si="680"/>
        <v>1913099</v>
      </c>
      <c r="M219" s="93">
        <f t="shared" si="680"/>
        <v>0</v>
      </c>
      <c r="N219" s="93">
        <f t="shared" si="680"/>
        <v>12344322</v>
      </c>
      <c r="O219" s="93">
        <f t="shared" si="680"/>
        <v>27535219</v>
      </c>
      <c r="P219" s="93">
        <f t="shared" si="680"/>
        <v>639140</v>
      </c>
      <c r="Q219" s="93">
        <f t="shared" si="680"/>
        <v>89717</v>
      </c>
      <c r="R219" s="93">
        <f t="shared" si="680"/>
        <v>549423</v>
      </c>
      <c r="S219" s="93">
        <f t="shared" si="680"/>
        <v>224964</v>
      </c>
      <c r="T219" s="93">
        <f t="shared" si="680"/>
        <v>1290599</v>
      </c>
      <c r="U219" s="93">
        <f t="shared" si="680"/>
        <v>9518171</v>
      </c>
      <c r="V219" s="93">
        <f t="shared" si="680"/>
        <v>2771275</v>
      </c>
      <c r="W219" s="93">
        <f t="shared" si="680"/>
        <v>3407343</v>
      </c>
      <c r="X219" s="93">
        <f t="shared" si="680"/>
        <v>1214366</v>
      </c>
      <c r="Y219" s="93">
        <f t="shared" si="680"/>
        <v>1131237</v>
      </c>
      <c r="Z219" s="93">
        <f t="shared" si="680"/>
        <v>673067</v>
      </c>
      <c r="AA219" s="93">
        <f t="shared" si="680"/>
        <v>133016</v>
      </c>
      <c r="AB219" s="93">
        <f t="shared" si="680"/>
        <v>0</v>
      </c>
      <c r="AC219" s="93">
        <f t="shared" si="680"/>
        <v>187867</v>
      </c>
      <c r="AD219" s="93">
        <f t="shared" ref="AD219" si="681">SUM(AD220+AD222+AD225+AD265+AD282+AD284)</f>
        <v>0</v>
      </c>
      <c r="AE219" s="93">
        <f t="shared" si="680"/>
        <v>61896932</v>
      </c>
      <c r="AF219" s="93">
        <f t="shared" si="680"/>
        <v>76256</v>
      </c>
      <c r="AG219" s="93">
        <f t="shared" si="680"/>
        <v>0</v>
      </c>
      <c r="AH219" s="93">
        <f t="shared" si="680"/>
        <v>4378864</v>
      </c>
      <c r="AI219" s="93">
        <f t="shared" si="680"/>
        <v>9945287</v>
      </c>
      <c r="AJ219" s="93">
        <f t="shared" si="680"/>
        <v>476249</v>
      </c>
      <c r="AK219" s="93">
        <f t="shared" ref="AK219:BP219" si="682">SUM(AK220+AK222+AK225+AK265+AK282+AK284)</f>
        <v>1631447</v>
      </c>
      <c r="AL219" s="93">
        <f t="shared" si="682"/>
        <v>5000</v>
      </c>
      <c r="AM219" s="93">
        <f t="shared" si="682"/>
        <v>317782</v>
      </c>
      <c r="AN219" s="93">
        <f t="shared" si="682"/>
        <v>2916738</v>
      </c>
      <c r="AO219" s="93">
        <f t="shared" si="682"/>
        <v>21833</v>
      </c>
      <c r="AP219" s="93">
        <f t="shared" si="682"/>
        <v>19000</v>
      </c>
      <c r="AQ219" s="93">
        <f t="shared" si="682"/>
        <v>50000</v>
      </c>
      <c r="AR219" s="93">
        <f t="shared" si="682"/>
        <v>7784726</v>
      </c>
      <c r="AS219" s="93">
        <f t="shared" si="682"/>
        <v>345320</v>
      </c>
      <c r="AT219" s="93">
        <f t="shared" si="682"/>
        <v>901358</v>
      </c>
      <c r="AU219" s="93">
        <f t="shared" si="682"/>
        <v>0</v>
      </c>
      <c r="AV219" s="93">
        <f t="shared" si="682"/>
        <v>3618</v>
      </c>
      <c r="AW219" s="93">
        <f t="shared" si="682"/>
        <v>0</v>
      </c>
      <c r="AX219" s="93">
        <f t="shared" si="682"/>
        <v>1271578</v>
      </c>
      <c r="AY219" s="93">
        <f t="shared" si="682"/>
        <v>411414</v>
      </c>
      <c r="AZ219" s="93">
        <f t="shared" si="682"/>
        <v>100000</v>
      </c>
      <c r="BA219" s="93">
        <f t="shared" si="682"/>
        <v>31240462</v>
      </c>
      <c r="BB219" s="93">
        <f t="shared" si="682"/>
        <v>18491450</v>
      </c>
      <c r="BC219" s="93">
        <f t="shared" si="682"/>
        <v>0</v>
      </c>
      <c r="BD219" s="93">
        <f t="shared" si="682"/>
        <v>0</v>
      </c>
      <c r="BE219" s="93">
        <f t="shared" si="682"/>
        <v>0</v>
      </c>
      <c r="BF219" s="93">
        <f t="shared" si="682"/>
        <v>0</v>
      </c>
      <c r="BG219" s="93">
        <f t="shared" si="682"/>
        <v>0</v>
      </c>
      <c r="BH219" s="93">
        <f t="shared" si="682"/>
        <v>0</v>
      </c>
      <c r="BI219" s="93">
        <f t="shared" si="682"/>
        <v>0</v>
      </c>
      <c r="BJ219" s="93">
        <f t="shared" si="682"/>
        <v>18296770</v>
      </c>
      <c r="BK219" s="93">
        <f t="shared" si="682"/>
        <v>12174992</v>
      </c>
      <c r="BL219" s="93">
        <f t="shared" si="682"/>
        <v>0</v>
      </c>
      <c r="BM219" s="93">
        <f t="shared" si="682"/>
        <v>0</v>
      </c>
      <c r="BN219" s="93">
        <f t="shared" si="682"/>
        <v>0</v>
      </c>
      <c r="BO219" s="93">
        <f t="shared" si="682"/>
        <v>194680</v>
      </c>
      <c r="BP219" s="93">
        <f t="shared" si="682"/>
        <v>0</v>
      </c>
      <c r="BQ219" s="93">
        <f t="shared" ref="BQ219:CO219" si="683">SUM(BQ220+BQ222+BQ225+BQ265+BQ282+BQ284)</f>
        <v>0</v>
      </c>
      <c r="BR219" s="93">
        <f t="shared" si="683"/>
        <v>0</v>
      </c>
      <c r="BS219" s="93">
        <f t="shared" si="683"/>
        <v>0</v>
      </c>
      <c r="BT219" s="93">
        <f t="shared" si="683"/>
        <v>0</v>
      </c>
      <c r="BU219" s="93">
        <f t="shared" si="683"/>
        <v>0</v>
      </c>
      <c r="BV219" s="93">
        <f t="shared" si="683"/>
        <v>0</v>
      </c>
      <c r="BW219" s="93">
        <f t="shared" si="683"/>
        <v>0</v>
      </c>
      <c r="BX219" s="93">
        <f t="shared" si="683"/>
        <v>0</v>
      </c>
      <c r="BY219" s="93">
        <f t="shared" si="683"/>
        <v>40336</v>
      </c>
      <c r="BZ219" s="93">
        <f t="shared" si="683"/>
        <v>154344</v>
      </c>
      <c r="CA219" s="93">
        <f t="shared" si="683"/>
        <v>210704328</v>
      </c>
      <c r="CB219" s="93">
        <f t="shared" si="683"/>
        <v>55954502</v>
      </c>
      <c r="CC219" s="93">
        <f t="shared" si="683"/>
        <v>52281791</v>
      </c>
      <c r="CD219" s="93">
        <f t="shared" si="683"/>
        <v>220580</v>
      </c>
      <c r="CE219" s="93">
        <f t="shared" si="683"/>
        <v>52061211</v>
      </c>
      <c r="CF219" s="93">
        <f t="shared" si="683"/>
        <v>0</v>
      </c>
      <c r="CG219" s="93">
        <f t="shared" si="683"/>
        <v>0</v>
      </c>
      <c r="CH219" s="93">
        <f t="shared" si="683"/>
        <v>0</v>
      </c>
      <c r="CI219" s="93">
        <f t="shared" si="683"/>
        <v>0</v>
      </c>
      <c r="CJ219" s="93">
        <f t="shared" si="683"/>
        <v>0</v>
      </c>
      <c r="CK219" s="93">
        <f t="shared" si="683"/>
        <v>0</v>
      </c>
      <c r="CL219" s="93">
        <f t="shared" si="683"/>
        <v>3672711</v>
      </c>
      <c r="CM219" s="93">
        <f t="shared" si="683"/>
        <v>100000</v>
      </c>
      <c r="CN219" s="93">
        <f t="shared" si="683"/>
        <v>785662</v>
      </c>
      <c r="CO219" s="93">
        <f t="shared" si="683"/>
        <v>2787049</v>
      </c>
      <c r="CP219" s="93"/>
      <c r="CQ219" s="93"/>
      <c r="CR219" s="93"/>
      <c r="CS219" s="93"/>
      <c r="CT219" s="93">
        <f t="shared" ref="CT219:DA219" si="684">SUM(CT220+CT222+CT225+CT265+CT282+CT284)</f>
        <v>154749826</v>
      </c>
      <c r="CU219" s="93">
        <f t="shared" si="684"/>
        <v>88584022</v>
      </c>
      <c r="CV219" s="93">
        <f t="shared" si="684"/>
        <v>88584022</v>
      </c>
      <c r="CW219" s="93">
        <f t="shared" si="684"/>
        <v>88584022</v>
      </c>
      <c r="CX219" s="93">
        <f t="shared" si="684"/>
        <v>0</v>
      </c>
      <c r="CY219" s="93">
        <f t="shared" si="684"/>
        <v>0</v>
      </c>
      <c r="CZ219" s="93">
        <f t="shared" si="684"/>
        <v>0</v>
      </c>
      <c r="DA219" s="94">
        <f t="shared" si="684"/>
        <v>0</v>
      </c>
    </row>
    <row r="220" spans="1:106" s="86" customFormat="1" ht="15.75" x14ac:dyDescent="0.25">
      <c r="A220" s="71" t="s">
        <v>308</v>
      </c>
      <c r="B220" s="16" t="s">
        <v>1</v>
      </c>
      <c r="C220" s="17" t="s">
        <v>309</v>
      </c>
      <c r="D220" s="18">
        <f>SUM(D221)</f>
        <v>27958437</v>
      </c>
      <c r="E220" s="18">
        <f t="shared" ref="E220:BU220" si="685">SUM(E221)</f>
        <v>0</v>
      </c>
      <c r="F220" s="18">
        <f t="shared" si="685"/>
        <v>0</v>
      </c>
      <c r="G220" s="18">
        <f t="shared" si="685"/>
        <v>0</v>
      </c>
      <c r="H220" s="18">
        <f t="shared" si="685"/>
        <v>0</v>
      </c>
      <c r="I220" s="18">
        <f t="shared" si="685"/>
        <v>0</v>
      </c>
      <c r="J220" s="18">
        <f t="shared" si="685"/>
        <v>0</v>
      </c>
      <c r="K220" s="18">
        <f t="shared" si="685"/>
        <v>0</v>
      </c>
      <c r="L220" s="18">
        <f t="shared" si="685"/>
        <v>0</v>
      </c>
      <c r="M220" s="18">
        <f t="shared" si="685"/>
        <v>0</v>
      </c>
      <c r="N220" s="18">
        <f t="shared" si="685"/>
        <v>0</v>
      </c>
      <c r="O220" s="18">
        <f t="shared" si="685"/>
        <v>0</v>
      </c>
      <c r="P220" s="18">
        <f t="shared" si="685"/>
        <v>0</v>
      </c>
      <c r="Q220" s="18">
        <f t="shared" si="685"/>
        <v>0</v>
      </c>
      <c r="R220" s="18">
        <f t="shared" si="685"/>
        <v>0</v>
      </c>
      <c r="S220" s="18">
        <f t="shared" si="685"/>
        <v>0</v>
      </c>
      <c r="T220" s="18">
        <f t="shared" si="685"/>
        <v>0</v>
      </c>
      <c r="U220" s="18">
        <f t="shared" si="685"/>
        <v>0</v>
      </c>
      <c r="V220" s="18">
        <f t="shared" si="685"/>
        <v>0</v>
      </c>
      <c r="W220" s="18">
        <f t="shared" si="685"/>
        <v>0</v>
      </c>
      <c r="X220" s="18">
        <f t="shared" si="685"/>
        <v>0</v>
      </c>
      <c r="Y220" s="18">
        <f t="shared" si="685"/>
        <v>0</v>
      </c>
      <c r="Z220" s="18">
        <f t="shared" si="685"/>
        <v>0</v>
      </c>
      <c r="AA220" s="18">
        <f t="shared" si="685"/>
        <v>0</v>
      </c>
      <c r="AB220" s="18">
        <f t="shared" si="685"/>
        <v>0</v>
      </c>
      <c r="AC220" s="18">
        <f t="shared" si="685"/>
        <v>0</v>
      </c>
      <c r="AD220" s="18">
        <f t="shared" si="685"/>
        <v>0</v>
      </c>
      <c r="AE220" s="18">
        <f t="shared" si="685"/>
        <v>0</v>
      </c>
      <c r="AF220" s="18">
        <f t="shared" si="685"/>
        <v>0</v>
      </c>
      <c r="AG220" s="18">
        <f t="shared" si="685"/>
        <v>0</v>
      </c>
      <c r="AH220" s="18">
        <f t="shared" si="685"/>
        <v>0</v>
      </c>
      <c r="AI220" s="18">
        <f t="shared" si="685"/>
        <v>0</v>
      </c>
      <c r="AJ220" s="18">
        <f t="shared" si="685"/>
        <v>0</v>
      </c>
      <c r="AK220" s="18">
        <f t="shared" si="685"/>
        <v>0</v>
      </c>
      <c r="AL220" s="18">
        <f t="shared" si="685"/>
        <v>0</v>
      </c>
      <c r="AM220" s="18">
        <f t="shared" si="685"/>
        <v>0</v>
      </c>
      <c r="AN220" s="18">
        <f t="shared" si="685"/>
        <v>0</v>
      </c>
      <c r="AO220" s="18">
        <f t="shared" si="685"/>
        <v>0</v>
      </c>
      <c r="AP220" s="18">
        <f t="shared" si="685"/>
        <v>0</v>
      </c>
      <c r="AQ220" s="18"/>
      <c r="AR220" s="18">
        <f t="shared" si="685"/>
        <v>0</v>
      </c>
      <c r="AS220" s="18">
        <f t="shared" si="685"/>
        <v>0</v>
      </c>
      <c r="AT220" s="18">
        <f t="shared" si="685"/>
        <v>0</v>
      </c>
      <c r="AU220" s="18"/>
      <c r="AV220" s="18"/>
      <c r="AW220" s="18">
        <f t="shared" si="685"/>
        <v>0</v>
      </c>
      <c r="AX220" s="18">
        <f t="shared" si="685"/>
        <v>0</v>
      </c>
      <c r="AY220" s="18">
        <f t="shared" si="685"/>
        <v>0</v>
      </c>
      <c r="AZ220" s="18"/>
      <c r="BA220" s="18">
        <f t="shared" si="685"/>
        <v>0</v>
      </c>
      <c r="BB220" s="18">
        <f t="shared" si="685"/>
        <v>0</v>
      </c>
      <c r="BC220" s="18">
        <f t="shared" si="685"/>
        <v>0</v>
      </c>
      <c r="BD220" s="18">
        <f t="shared" si="685"/>
        <v>0</v>
      </c>
      <c r="BE220" s="18">
        <f t="shared" si="685"/>
        <v>0</v>
      </c>
      <c r="BF220" s="18">
        <f t="shared" si="685"/>
        <v>0</v>
      </c>
      <c r="BG220" s="18">
        <f t="shared" si="685"/>
        <v>0</v>
      </c>
      <c r="BH220" s="18">
        <f t="shared" si="685"/>
        <v>0</v>
      </c>
      <c r="BI220" s="18">
        <f t="shared" si="685"/>
        <v>0</v>
      </c>
      <c r="BJ220" s="18">
        <f t="shared" si="685"/>
        <v>0</v>
      </c>
      <c r="BK220" s="18">
        <f t="shared" si="685"/>
        <v>0</v>
      </c>
      <c r="BL220" s="18">
        <f t="shared" si="685"/>
        <v>0</v>
      </c>
      <c r="BM220" s="18">
        <f t="shared" si="685"/>
        <v>0</v>
      </c>
      <c r="BN220" s="18">
        <f t="shared" si="685"/>
        <v>0</v>
      </c>
      <c r="BO220" s="18">
        <f t="shared" si="685"/>
        <v>0</v>
      </c>
      <c r="BP220" s="18">
        <f t="shared" si="685"/>
        <v>0</v>
      </c>
      <c r="BQ220" s="18">
        <f t="shared" si="685"/>
        <v>0</v>
      </c>
      <c r="BR220" s="18">
        <f t="shared" si="685"/>
        <v>0</v>
      </c>
      <c r="BS220" s="18">
        <f t="shared" si="685"/>
        <v>0</v>
      </c>
      <c r="BT220" s="18">
        <f t="shared" si="685"/>
        <v>0</v>
      </c>
      <c r="BU220" s="18">
        <f t="shared" si="685"/>
        <v>0</v>
      </c>
      <c r="BV220" s="18">
        <f t="shared" ref="BV220:DA220" si="686">SUM(BV221)</f>
        <v>0</v>
      </c>
      <c r="BW220" s="18">
        <f t="shared" si="686"/>
        <v>0</v>
      </c>
      <c r="BX220" s="18">
        <f t="shared" si="686"/>
        <v>0</v>
      </c>
      <c r="BY220" s="18">
        <f t="shared" si="686"/>
        <v>0</v>
      </c>
      <c r="BZ220" s="18">
        <f t="shared" si="686"/>
        <v>0</v>
      </c>
      <c r="CA220" s="18">
        <f t="shared" si="686"/>
        <v>27958437</v>
      </c>
      <c r="CB220" s="18">
        <f t="shared" si="686"/>
        <v>0</v>
      </c>
      <c r="CC220" s="18">
        <f t="shared" si="686"/>
        <v>0</v>
      </c>
      <c r="CD220" s="18">
        <f t="shared" si="686"/>
        <v>0</v>
      </c>
      <c r="CE220" s="18">
        <f t="shared" si="686"/>
        <v>0</v>
      </c>
      <c r="CF220" s="18">
        <f t="shared" si="686"/>
        <v>0</v>
      </c>
      <c r="CG220" s="18">
        <f t="shared" si="686"/>
        <v>0</v>
      </c>
      <c r="CH220" s="18">
        <f t="shared" si="686"/>
        <v>0</v>
      </c>
      <c r="CI220" s="18">
        <f t="shared" si="686"/>
        <v>0</v>
      </c>
      <c r="CJ220" s="18">
        <f t="shared" si="686"/>
        <v>0</v>
      </c>
      <c r="CK220" s="18">
        <f t="shared" si="686"/>
        <v>0</v>
      </c>
      <c r="CL220" s="18">
        <f t="shared" si="686"/>
        <v>0</v>
      </c>
      <c r="CM220" s="18">
        <f t="shared" si="686"/>
        <v>0</v>
      </c>
      <c r="CN220" s="18">
        <f t="shared" si="686"/>
        <v>0</v>
      </c>
      <c r="CO220" s="18">
        <f t="shared" si="686"/>
        <v>0</v>
      </c>
      <c r="CP220" s="18"/>
      <c r="CQ220" s="18"/>
      <c r="CR220" s="18"/>
      <c r="CS220" s="18"/>
      <c r="CT220" s="18">
        <f t="shared" si="686"/>
        <v>27958437</v>
      </c>
      <c r="CU220" s="18"/>
      <c r="CV220" s="18"/>
      <c r="CW220" s="18"/>
      <c r="CX220" s="18">
        <f t="shared" si="686"/>
        <v>0</v>
      </c>
      <c r="CY220" s="18">
        <f t="shared" si="686"/>
        <v>0</v>
      </c>
      <c r="CZ220" s="18">
        <f t="shared" si="686"/>
        <v>0</v>
      </c>
      <c r="DA220" s="46">
        <f t="shared" si="686"/>
        <v>0</v>
      </c>
      <c r="DB220" s="85"/>
    </row>
    <row r="221" spans="1:106" s="84" customFormat="1" ht="15.75" x14ac:dyDescent="0.25">
      <c r="A221" s="74" t="s">
        <v>1</v>
      </c>
      <c r="B221" s="36" t="s">
        <v>310</v>
      </c>
      <c r="C221" s="37" t="s">
        <v>309</v>
      </c>
      <c r="D221" s="38">
        <f>SUM(E221+CA221+CX221)</f>
        <v>27958437</v>
      </c>
      <c r="E221" s="39">
        <f>SUM(F221+BB221)</f>
        <v>0</v>
      </c>
      <c r="F221" s="39">
        <f>SUM(G221+H221+I221+P221+S221+T221+U221+AE221)</f>
        <v>0</v>
      </c>
      <c r="G221" s="39">
        <v>0</v>
      </c>
      <c r="H221" s="39">
        <v>0</v>
      </c>
      <c r="I221" s="39">
        <f t="shared" si="376"/>
        <v>0</v>
      </c>
      <c r="J221" s="39">
        <v>0</v>
      </c>
      <c r="K221" s="39">
        <v>0</v>
      </c>
      <c r="L221" s="39">
        <v>0</v>
      </c>
      <c r="M221" s="39">
        <v>0</v>
      </c>
      <c r="N221" s="39">
        <v>0</v>
      </c>
      <c r="O221" s="39">
        <v>0</v>
      </c>
      <c r="P221" s="39">
        <f t="shared" si="377"/>
        <v>0</v>
      </c>
      <c r="Q221" s="39">
        <v>0</v>
      </c>
      <c r="R221" s="39">
        <v>0</v>
      </c>
      <c r="S221" s="39">
        <v>0</v>
      </c>
      <c r="T221" s="39">
        <v>0</v>
      </c>
      <c r="U221" s="39">
        <f t="shared" ref="U221" si="687">SUM(V221:AC221)</f>
        <v>0</v>
      </c>
      <c r="V221" s="39">
        <v>0</v>
      </c>
      <c r="W221" s="39">
        <v>0</v>
      </c>
      <c r="X221" s="39">
        <v>0</v>
      </c>
      <c r="Y221" s="39">
        <v>0</v>
      </c>
      <c r="Z221" s="39">
        <v>0</v>
      </c>
      <c r="AA221" s="39">
        <v>0</v>
      </c>
      <c r="AB221" s="39">
        <v>0</v>
      </c>
      <c r="AC221" s="39">
        <v>0</v>
      </c>
      <c r="AD221" s="39">
        <v>0</v>
      </c>
      <c r="AE221" s="39">
        <f>SUM(AF221:BA221)</f>
        <v>0</v>
      </c>
      <c r="AF221" s="39">
        <v>0</v>
      </c>
      <c r="AG221" s="39">
        <v>0</v>
      </c>
      <c r="AH221" s="39">
        <v>0</v>
      </c>
      <c r="AI221" s="39">
        <v>0</v>
      </c>
      <c r="AJ221" s="39">
        <v>0</v>
      </c>
      <c r="AK221" s="39">
        <v>0</v>
      </c>
      <c r="AL221" s="39">
        <v>0</v>
      </c>
      <c r="AM221" s="39">
        <v>0</v>
      </c>
      <c r="AN221" s="39">
        <v>0</v>
      </c>
      <c r="AO221" s="39">
        <v>0</v>
      </c>
      <c r="AP221" s="39">
        <v>0</v>
      </c>
      <c r="AQ221" s="39"/>
      <c r="AR221" s="39">
        <v>0</v>
      </c>
      <c r="AS221" s="39">
        <v>0</v>
      </c>
      <c r="AT221" s="39">
        <v>0</v>
      </c>
      <c r="AU221" s="39"/>
      <c r="AV221" s="39"/>
      <c r="AW221" s="39">
        <v>0</v>
      </c>
      <c r="AX221" s="39">
        <v>0</v>
      </c>
      <c r="AY221" s="39">
        <v>0</v>
      </c>
      <c r="AZ221" s="39"/>
      <c r="BA221" s="39">
        <v>0</v>
      </c>
      <c r="BB221" s="39">
        <f>SUM(BC221+BG221+BJ221+BL221+BO221)</f>
        <v>0</v>
      </c>
      <c r="BC221" s="39">
        <f>SUM(BD221:BF221)</f>
        <v>0</v>
      </c>
      <c r="BD221" s="39">
        <v>0</v>
      </c>
      <c r="BE221" s="39">
        <v>0</v>
      </c>
      <c r="BF221" s="39">
        <v>0</v>
      </c>
      <c r="BG221" s="39">
        <f>SUM(BI221:BI221)</f>
        <v>0</v>
      </c>
      <c r="BH221" s="39">
        <v>0</v>
      </c>
      <c r="BI221" s="39">
        <v>0</v>
      </c>
      <c r="BJ221" s="39">
        <v>0</v>
      </c>
      <c r="BK221" s="39">
        <v>0</v>
      </c>
      <c r="BL221" s="39">
        <f t="shared" si="379"/>
        <v>0</v>
      </c>
      <c r="BM221" s="39">
        <v>0</v>
      </c>
      <c r="BN221" s="39">
        <v>0</v>
      </c>
      <c r="BO221" s="39">
        <f>SUM(BP221:BZ221)</f>
        <v>0</v>
      </c>
      <c r="BP221" s="39">
        <v>0</v>
      </c>
      <c r="BQ221" s="39">
        <v>0</v>
      </c>
      <c r="BR221" s="39">
        <v>0</v>
      </c>
      <c r="BS221" s="39">
        <v>0</v>
      </c>
      <c r="BT221" s="39">
        <v>0</v>
      </c>
      <c r="BU221" s="39">
        <v>0</v>
      </c>
      <c r="BV221" s="39">
        <v>0</v>
      </c>
      <c r="BW221" s="39">
        <v>0</v>
      </c>
      <c r="BX221" s="39">
        <v>0</v>
      </c>
      <c r="BY221" s="39">
        <v>0</v>
      </c>
      <c r="BZ221" s="39">
        <v>0</v>
      </c>
      <c r="CA221" s="39">
        <f>SUM(CB221+CT221)</f>
        <v>27958437</v>
      </c>
      <c r="CB221" s="39">
        <f>SUM(CC221+CF221+CL221)</f>
        <v>0</v>
      </c>
      <c r="CC221" s="39">
        <f t="shared" si="380"/>
        <v>0</v>
      </c>
      <c r="CD221" s="39">
        <v>0</v>
      </c>
      <c r="CE221" s="39">
        <v>0</v>
      </c>
      <c r="CF221" s="39">
        <f>SUM(CG221:CK221)</f>
        <v>0</v>
      </c>
      <c r="CG221" s="39">
        <v>0</v>
      </c>
      <c r="CH221" s="39">
        <v>0</v>
      </c>
      <c r="CI221" s="39">
        <v>0</v>
      </c>
      <c r="CJ221" s="39">
        <v>0</v>
      </c>
      <c r="CK221" s="39">
        <v>0</v>
      </c>
      <c r="CL221" s="39">
        <f>SUM(CM221:CQ221)</f>
        <v>0</v>
      </c>
      <c r="CM221" s="39">
        <v>0</v>
      </c>
      <c r="CN221" s="39">
        <v>0</v>
      </c>
      <c r="CO221" s="39">
        <v>0</v>
      </c>
      <c r="CP221" s="39"/>
      <c r="CQ221" s="39"/>
      <c r="CR221" s="39"/>
      <c r="CS221" s="39"/>
      <c r="CT221" s="39">
        <f>18000000+3000000+4000000+3000000+4500000-6045900+2400000-895663</f>
        <v>27958437</v>
      </c>
      <c r="CU221" s="39"/>
      <c r="CV221" s="39"/>
      <c r="CW221" s="39"/>
      <c r="CX221" s="39">
        <f t="shared" si="382"/>
        <v>0</v>
      </c>
      <c r="CY221" s="39">
        <f t="shared" si="383"/>
        <v>0</v>
      </c>
      <c r="CZ221" s="39">
        <v>0</v>
      </c>
      <c r="DA221" s="41">
        <v>0</v>
      </c>
    </row>
    <row r="222" spans="1:106" s="86" customFormat="1" ht="15.75" x14ac:dyDescent="0.25">
      <c r="A222" s="71" t="s">
        <v>311</v>
      </c>
      <c r="B222" s="16" t="s">
        <v>1</v>
      </c>
      <c r="C222" s="17" t="s">
        <v>312</v>
      </c>
      <c r="D222" s="18">
        <f>SUM(D223:D224)</f>
        <v>2260264</v>
      </c>
      <c r="E222" s="18">
        <f t="shared" ref="E222:BQ222" si="688">SUM(E223:E224)</f>
        <v>2245405</v>
      </c>
      <c r="F222" s="18">
        <f t="shared" si="688"/>
        <v>2241571</v>
      </c>
      <c r="G222" s="18">
        <f t="shared" si="688"/>
        <v>1154522</v>
      </c>
      <c r="H222" s="18">
        <f t="shared" si="688"/>
        <v>282614</v>
      </c>
      <c r="I222" s="18">
        <f t="shared" si="688"/>
        <v>141683</v>
      </c>
      <c r="J222" s="18">
        <f t="shared" si="688"/>
        <v>0</v>
      </c>
      <c r="K222" s="18">
        <f t="shared" si="688"/>
        <v>0</v>
      </c>
      <c r="L222" s="18">
        <f t="shared" si="688"/>
        <v>0</v>
      </c>
      <c r="M222" s="18">
        <f t="shared" si="688"/>
        <v>0</v>
      </c>
      <c r="N222" s="18">
        <f t="shared" si="688"/>
        <v>84183</v>
      </c>
      <c r="O222" s="18">
        <f t="shared" si="688"/>
        <v>57500</v>
      </c>
      <c r="P222" s="18">
        <f t="shared" si="688"/>
        <v>79000</v>
      </c>
      <c r="Q222" s="18">
        <f t="shared" si="688"/>
        <v>0</v>
      </c>
      <c r="R222" s="18">
        <f t="shared" si="688"/>
        <v>79000</v>
      </c>
      <c r="S222" s="18">
        <f t="shared" si="688"/>
        <v>0</v>
      </c>
      <c r="T222" s="18">
        <f t="shared" si="688"/>
        <v>20518</v>
      </c>
      <c r="U222" s="18">
        <f t="shared" si="688"/>
        <v>44328</v>
      </c>
      <c r="V222" s="18">
        <f t="shared" si="688"/>
        <v>0</v>
      </c>
      <c r="W222" s="18">
        <f t="shared" si="688"/>
        <v>26597</v>
      </c>
      <c r="X222" s="18">
        <f t="shared" si="688"/>
        <v>13151</v>
      </c>
      <c r="Y222" s="18">
        <f t="shared" si="688"/>
        <v>1794</v>
      </c>
      <c r="Z222" s="18">
        <f t="shared" si="688"/>
        <v>2786</v>
      </c>
      <c r="AA222" s="18">
        <f t="shared" si="688"/>
        <v>0</v>
      </c>
      <c r="AB222" s="18">
        <f t="shared" si="688"/>
        <v>0</v>
      </c>
      <c r="AC222" s="18">
        <f t="shared" si="688"/>
        <v>0</v>
      </c>
      <c r="AD222" s="18">
        <f t="shared" ref="AD222" si="689">SUM(AD223:AD224)</f>
        <v>0</v>
      </c>
      <c r="AE222" s="18">
        <f t="shared" si="688"/>
        <v>518906</v>
      </c>
      <c r="AF222" s="18">
        <f t="shared" si="688"/>
        <v>0</v>
      </c>
      <c r="AG222" s="18">
        <f t="shared" si="688"/>
        <v>0</v>
      </c>
      <c r="AH222" s="18">
        <f t="shared" si="688"/>
        <v>4674</v>
      </c>
      <c r="AI222" s="18">
        <f t="shared" si="688"/>
        <v>182096</v>
      </c>
      <c r="AJ222" s="18">
        <f t="shared" si="688"/>
        <v>0</v>
      </c>
      <c r="AK222" s="18">
        <f t="shared" si="688"/>
        <v>325</v>
      </c>
      <c r="AL222" s="18">
        <f t="shared" si="688"/>
        <v>0</v>
      </c>
      <c r="AM222" s="18">
        <f t="shared" si="688"/>
        <v>0</v>
      </c>
      <c r="AN222" s="18">
        <f t="shared" si="688"/>
        <v>0</v>
      </c>
      <c r="AO222" s="18">
        <f t="shared" si="688"/>
        <v>6833</v>
      </c>
      <c r="AP222" s="18">
        <f t="shared" si="688"/>
        <v>0</v>
      </c>
      <c r="AQ222" s="18"/>
      <c r="AR222" s="18">
        <f t="shared" si="688"/>
        <v>0</v>
      </c>
      <c r="AS222" s="18">
        <f t="shared" si="688"/>
        <v>70146</v>
      </c>
      <c r="AT222" s="18">
        <f t="shared" si="688"/>
        <v>1535</v>
      </c>
      <c r="AU222" s="18">
        <f t="shared" si="688"/>
        <v>0</v>
      </c>
      <c r="AV222" s="18">
        <f t="shared" si="688"/>
        <v>0</v>
      </c>
      <c r="AW222" s="18">
        <f t="shared" si="688"/>
        <v>0</v>
      </c>
      <c r="AX222" s="18">
        <f t="shared" si="688"/>
        <v>0</v>
      </c>
      <c r="AY222" s="18">
        <f t="shared" si="688"/>
        <v>10980</v>
      </c>
      <c r="AZ222" s="18">
        <f t="shared" si="688"/>
        <v>0</v>
      </c>
      <c r="BA222" s="18">
        <f t="shared" si="688"/>
        <v>242317</v>
      </c>
      <c r="BB222" s="18">
        <f t="shared" si="688"/>
        <v>3834</v>
      </c>
      <c r="BC222" s="18">
        <f t="shared" si="688"/>
        <v>0</v>
      </c>
      <c r="BD222" s="18">
        <f t="shared" si="688"/>
        <v>0</v>
      </c>
      <c r="BE222" s="18">
        <f t="shared" si="688"/>
        <v>0</v>
      </c>
      <c r="BF222" s="18">
        <f t="shared" si="688"/>
        <v>0</v>
      </c>
      <c r="BG222" s="18">
        <f t="shared" si="688"/>
        <v>0</v>
      </c>
      <c r="BH222" s="18">
        <f t="shared" si="688"/>
        <v>0</v>
      </c>
      <c r="BI222" s="18">
        <f t="shared" si="688"/>
        <v>0</v>
      </c>
      <c r="BJ222" s="18">
        <f t="shared" si="688"/>
        <v>0</v>
      </c>
      <c r="BK222" s="18">
        <f t="shared" si="688"/>
        <v>0</v>
      </c>
      <c r="BL222" s="18">
        <f t="shared" si="688"/>
        <v>0</v>
      </c>
      <c r="BM222" s="18">
        <f t="shared" si="688"/>
        <v>0</v>
      </c>
      <c r="BN222" s="18">
        <f t="shared" si="688"/>
        <v>0</v>
      </c>
      <c r="BO222" s="18">
        <f t="shared" si="688"/>
        <v>3834</v>
      </c>
      <c r="BP222" s="18">
        <f t="shared" si="688"/>
        <v>0</v>
      </c>
      <c r="BQ222" s="18">
        <f t="shared" si="688"/>
        <v>0</v>
      </c>
      <c r="BR222" s="18">
        <f t="shared" ref="BR222:DA222" si="690">SUM(BR223:BR224)</f>
        <v>0</v>
      </c>
      <c r="BS222" s="18">
        <f t="shared" si="690"/>
        <v>0</v>
      </c>
      <c r="BT222" s="18">
        <f t="shared" si="690"/>
        <v>0</v>
      </c>
      <c r="BU222" s="18">
        <f t="shared" si="690"/>
        <v>0</v>
      </c>
      <c r="BV222" s="18">
        <f t="shared" si="690"/>
        <v>0</v>
      </c>
      <c r="BW222" s="18">
        <f t="shared" si="690"/>
        <v>0</v>
      </c>
      <c r="BX222" s="18">
        <f t="shared" si="690"/>
        <v>0</v>
      </c>
      <c r="BY222" s="18">
        <f t="shared" si="690"/>
        <v>3834</v>
      </c>
      <c r="BZ222" s="18">
        <f t="shared" si="690"/>
        <v>0</v>
      </c>
      <c r="CA222" s="18">
        <f t="shared" si="690"/>
        <v>14859</v>
      </c>
      <c r="CB222" s="18">
        <f t="shared" si="690"/>
        <v>14859</v>
      </c>
      <c r="CC222" s="18">
        <f t="shared" si="690"/>
        <v>14859</v>
      </c>
      <c r="CD222" s="18">
        <f t="shared" si="690"/>
        <v>0</v>
      </c>
      <c r="CE222" s="18">
        <f t="shared" si="690"/>
        <v>14859</v>
      </c>
      <c r="CF222" s="18">
        <f t="shared" si="690"/>
        <v>0</v>
      </c>
      <c r="CG222" s="18">
        <f t="shared" si="690"/>
        <v>0</v>
      </c>
      <c r="CH222" s="18">
        <f t="shared" si="690"/>
        <v>0</v>
      </c>
      <c r="CI222" s="18">
        <f t="shared" si="690"/>
        <v>0</v>
      </c>
      <c r="CJ222" s="18">
        <f t="shared" si="690"/>
        <v>0</v>
      </c>
      <c r="CK222" s="18">
        <f t="shared" si="690"/>
        <v>0</v>
      </c>
      <c r="CL222" s="18">
        <f t="shared" si="690"/>
        <v>0</v>
      </c>
      <c r="CM222" s="18">
        <f t="shared" si="690"/>
        <v>0</v>
      </c>
      <c r="CN222" s="18">
        <f t="shared" si="690"/>
        <v>0</v>
      </c>
      <c r="CO222" s="18">
        <f t="shared" si="690"/>
        <v>0</v>
      </c>
      <c r="CP222" s="18">
        <f t="shared" si="690"/>
        <v>0</v>
      </c>
      <c r="CQ222" s="18">
        <f t="shared" si="690"/>
        <v>0</v>
      </c>
      <c r="CR222" s="18">
        <f t="shared" si="690"/>
        <v>0</v>
      </c>
      <c r="CS222" s="18">
        <f t="shared" si="690"/>
        <v>0</v>
      </c>
      <c r="CT222" s="18">
        <f t="shared" si="690"/>
        <v>0</v>
      </c>
      <c r="CU222" s="18"/>
      <c r="CV222" s="18"/>
      <c r="CW222" s="18"/>
      <c r="CX222" s="18">
        <f t="shared" si="690"/>
        <v>0</v>
      </c>
      <c r="CY222" s="18">
        <f t="shared" si="690"/>
        <v>0</v>
      </c>
      <c r="CZ222" s="18">
        <f t="shared" si="690"/>
        <v>0</v>
      </c>
      <c r="DA222" s="46">
        <f t="shared" si="690"/>
        <v>0</v>
      </c>
      <c r="DB222" s="85"/>
    </row>
    <row r="223" spans="1:106" ht="15.75" x14ac:dyDescent="0.25">
      <c r="A223" s="72" t="s">
        <v>1</v>
      </c>
      <c r="B223" s="21" t="s">
        <v>313</v>
      </c>
      <c r="C223" s="22" t="s">
        <v>601</v>
      </c>
      <c r="D223" s="18">
        <f>SUM(E223+CA223+CX223)</f>
        <v>238470</v>
      </c>
      <c r="E223" s="19">
        <f>SUM(F223+BB223)</f>
        <v>238470</v>
      </c>
      <c r="F223" s="19">
        <f t="shared" ref="F223:F224" si="691">SUM(G223+H223+I223+P223+S223+T223+U223+AE223)</f>
        <v>238470</v>
      </c>
      <c r="G223" s="19">
        <v>0</v>
      </c>
      <c r="H223" s="19">
        <v>0</v>
      </c>
      <c r="I223" s="19">
        <f t="shared" ref="I223" si="692">SUM(J223:O223)</f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f t="shared" ref="P223" si="693">SUM(Q223:R223)</f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f t="shared" ref="U223" si="694">SUM(V223:AC223)</f>
        <v>0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f t="shared" ref="AE223" si="695">SUM(AF223:BA223)</f>
        <v>238470</v>
      </c>
      <c r="AF223" s="19">
        <v>0</v>
      </c>
      <c r="AG223" s="19">
        <v>0</v>
      </c>
      <c r="AH223" s="19">
        <v>0</v>
      </c>
      <c r="AI223" s="19">
        <v>0</v>
      </c>
      <c r="AJ223" s="23">
        <v>0</v>
      </c>
      <c r="AK223" s="23">
        <v>0</v>
      </c>
      <c r="AL223" s="19">
        <v>0</v>
      </c>
      <c r="AM223" s="19">
        <v>0</v>
      </c>
      <c r="AN223" s="19">
        <v>0</v>
      </c>
      <c r="AO223" s="19">
        <v>0</v>
      </c>
      <c r="AP223" s="19">
        <v>0</v>
      </c>
      <c r="AQ223" s="19"/>
      <c r="AR223" s="23"/>
      <c r="AS223" s="19">
        <v>0</v>
      </c>
      <c r="AT223" s="19">
        <v>0</v>
      </c>
      <c r="AU223" s="19">
        <v>0</v>
      </c>
      <c r="AV223" s="19">
        <v>0</v>
      </c>
      <c r="AW223" s="19">
        <v>0</v>
      </c>
      <c r="AX223" s="19">
        <v>0</v>
      </c>
      <c r="AY223" s="19">
        <v>0</v>
      </c>
      <c r="AZ223" s="19">
        <v>0</v>
      </c>
      <c r="BA223" s="24">
        <f>0+238470</f>
        <v>238470</v>
      </c>
      <c r="BB223" s="19">
        <f>SUM(BC223+BG223+BJ223+BL223+BO223)</f>
        <v>0</v>
      </c>
      <c r="BC223" s="19">
        <f t="shared" ref="BC223" si="696">SUM(BD223:BF223)</f>
        <v>0</v>
      </c>
      <c r="BD223" s="19">
        <v>0</v>
      </c>
      <c r="BE223" s="19">
        <v>0</v>
      </c>
      <c r="BF223" s="19">
        <v>0</v>
      </c>
      <c r="BG223" s="19">
        <f t="shared" ref="BG223" si="697">SUM(BI223:BI223)</f>
        <v>0</v>
      </c>
      <c r="BH223" s="19">
        <v>0</v>
      </c>
      <c r="BI223" s="19">
        <v>0</v>
      </c>
      <c r="BJ223" s="19">
        <v>0</v>
      </c>
      <c r="BK223" s="19">
        <v>0</v>
      </c>
      <c r="BL223" s="19">
        <f t="shared" ref="BL223" si="698">SUM(BM223)</f>
        <v>0</v>
      </c>
      <c r="BM223" s="19">
        <v>0</v>
      </c>
      <c r="BN223" s="19">
        <v>0</v>
      </c>
      <c r="BO223" s="19">
        <f t="shared" ref="BO223" si="699">SUM(BP223:BZ223)</f>
        <v>0</v>
      </c>
      <c r="BP223" s="19">
        <v>0</v>
      </c>
      <c r="BQ223" s="19">
        <v>0</v>
      </c>
      <c r="BR223" s="19">
        <v>0</v>
      </c>
      <c r="BS223" s="19">
        <v>0</v>
      </c>
      <c r="BT223" s="19">
        <v>0</v>
      </c>
      <c r="BU223" s="19">
        <v>0</v>
      </c>
      <c r="BV223" s="19">
        <v>0</v>
      </c>
      <c r="BW223" s="19">
        <v>0</v>
      </c>
      <c r="BX223" s="19">
        <v>0</v>
      </c>
      <c r="BY223" s="19">
        <v>0</v>
      </c>
      <c r="BZ223" s="19">
        <v>0</v>
      </c>
      <c r="CA223" s="19">
        <f t="shared" ref="CA223" si="700">SUM(CB223+CT223)</f>
        <v>0</v>
      </c>
      <c r="CB223" s="19">
        <f t="shared" ref="CB223" si="701">SUM(CC223+CF223+CL223)</f>
        <v>0</v>
      </c>
      <c r="CC223" s="19">
        <f t="shared" ref="CC223" si="702">SUM(CD223:CE223)</f>
        <v>0</v>
      </c>
      <c r="CD223" s="19">
        <v>0</v>
      </c>
      <c r="CE223" s="19">
        <v>0</v>
      </c>
      <c r="CF223" s="19">
        <f t="shared" ref="CF223" si="703">SUM(CG223:CK223)</f>
        <v>0</v>
      </c>
      <c r="CG223" s="19">
        <v>0</v>
      </c>
      <c r="CH223" s="19">
        <v>0</v>
      </c>
      <c r="CI223" s="19">
        <v>0</v>
      </c>
      <c r="CJ223" s="19">
        <v>0</v>
      </c>
      <c r="CK223" s="19">
        <v>0</v>
      </c>
      <c r="CL223" s="19">
        <f t="shared" ref="CL223" si="704">SUM(CM223:CQ223)</f>
        <v>0</v>
      </c>
      <c r="CM223" s="19">
        <v>0</v>
      </c>
      <c r="CN223" s="19">
        <v>0</v>
      </c>
      <c r="CO223" s="19">
        <v>0</v>
      </c>
      <c r="CP223" s="19"/>
      <c r="CQ223" s="19"/>
      <c r="CR223" s="19"/>
      <c r="CS223" s="19"/>
      <c r="CT223" s="19">
        <v>0</v>
      </c>
      <c r="CU223" s="19"/>
      <c r="CV223" s="19"/>
      <c r="CW223" s="19"/>
      <c r="CX223" s="19">
        <f t="shared" ref="CX223" si="705">SUM(CY223)</f>
        <v>0</v>
      </c>
      <c r="CY223" s="19">
        <f t="shared" ref="CY223" si="706">SUM(CZ223:DA223)</f>
        <v>0</v>
      </c>
      <c r="CZ223" s="19">
        <v>0</v>
      </c>
      <c r="DA223" s="20">
        <v>0</v>
      </c>
    </row>
    <row r="224" spans="1:106" s="84" customFormat="1" ht="15.75" x14ac:dyDescent="0.25">
      <c r="A224" s="74" t="s">
        <v>1</v>
      </c>
      <c r="B224" s="36" t="s">
        <v>313</v>
      </c>
      <c r="C224" s="37" t="s">
        <v>314</v>
      </c>
      <c r="D224" s="38">
        <f>SUM(E224+CA224+CX224)</f>
        <v>2021794</v>
      </c>
      <c r="E224" s="39">
        <f>SUM(F224+BB224)</f>
        <v>2006935</v>
      </c>
      <c r="F224" s="39">
        <f t="shared" si="691"/>
        <v>2003101</v>
      </c>
      <c r="G224" s="35">
        <f>1080522+20000+54000</f>
        <v>1154522</v>
      </c>
      <c r="H224" s="35">
        <f>287614-20000+15000</f>
        <v>282614</v>
      </c>
      <c r="I224" s="39">
        <f t="shared" ref="I224:I288" si="707">SUM(J224:O224)</f>
        <v>141683</v>
      </c>
      <c r="J224" s="39">
        <v>0</v>
      </c>
      <c r="K224" s="39">
        <v>0</v>
      </c>
      <c r="L224" s="39">
        <v>0</v>
      </c>
      <c r="M224" s="39">
        <v>0</v>
      </c>
      <c r="N224" s="35">
        <v>84183</v>
      </c>
      <c r="O224" s="35">
        <v>57500</v>
      </c>
      <c r="P224" s="39">
        <f t="shared" ref="P224:P288" si="708">SUM(Q224:R224)</f>
        <v>79000</v>
      </c>
      <c r="Q224" s="39">
        <v>0</v>
      </c>
      <c r="R224" s="35">
        <v>79000</v>
      </c>
      <c r="S224" s="35">
        <v>0</v>
      </c>
      <c r="T224" s="35">
        <v>20518</v>
      </c>
      <c r="U224" s="39">
        <f t="shared" ref="U224" si="709">SUM(V224:AC224)</f>
        <v>44328</v>
      </c>
      <c r="V224" s="35"/>
      <c r="W224" s="35">
        <f>38963-12366</f>
        <v>26597</v>
      </c>
      <c r="X224" s="35">
        <v>13151</v>
      </c>
      <c r="Y224" s="35">
        <v>1794</v>
      </c>
      <c r="Z224" s="35">
        <v>2786</v>
      </c>
      <c r="AA224" s="35">
        <v>0</v>
      </c>
      <c r="AB224" s="35">
        <v>0</v>
      </c>
      <c r="AC224" s="35">
        <v>0</v>
      </c>
      <c r="AD224" s="39">
        <v>0</v>
      </c>
      <c r="AE224" s="39">
        <f>SUM(AF224:BA224)</f>
        <v>280436</v>
      </c>
      <c r="AF224" s="39">
        <v>0</v>
      </c>
      <c r="AG224" s="39">
        <v>0</v>
      </c>
      <c r="AH224" s="35">
        <v>4674</v>
      </c>
      <c r="AI224" s="35">
        <f>215484-33388</f>
        <v>182096</v>
      </c>
      <c r="AJ224" s="35">
        <v>0</v>
      </c>
      <c r="AK224" s="35">
        <v>325</v>
      </c>
      <c r="AL224" s="35">
        <v>0</v>
      </c>
      <c r="AM224" s="35">
        <v>0</v>
      </c>
      <c r="AN224" s="35">
        <v>0</v>
      </c>
      <c r="AO224" s="35">
        <v>6833</v>
      </c>
      <c r="AP224" s="35">
        <v>0</v>
      </c>
      <c r="AQ224" s="35"/>
      <c r="AR224" s="35">
        <v>0</v>
      </c>
      <c r="AS224" s="35">
        <v>70146</v>
      </c>
      <c r="AT224" s="35">
        <v>1535</v>
      </c>
      <c r="AU224" s="35">
        <v>0</v>
      </c>
      <c r="AV224" s="35">
        <v>0</v>
      </c>
      <c r="AW224" s="35">
        <v>0</v>
      </c>
      <c r="AX224" s="35">
        <v>0</v>
      </c>
      <c r="AY224" s="35">
        <v>10980</v>
      </c>
      <c r="AZ224" s="35">
        <v>0</v>
      </c>
      <c r="BA224" s="35">
        <v>3847</v>
      </c>
      <c r="BB224" s="39">
        <f>SUM(BC224+BG224+BJ224+BL224+BO224)</f>
        <v>3834</v>
      </c>
      <c r="BC224" s="39">
        <f>SUM(BD224:BF224)</f>
        <v>0</v>
      </c>
      <c r="BD224" s="39">
        <v>0</v>
      </c>
      <c r="BE224" s="39">
        <v>0</v>
      </c>
      <c r="BF224" s="39">
        <v>0</v>
      </c>
      <c r="BG224" s="39">
        <f>SUM(BI224:BI224)</f>
        <v>0</v>
      </c>
      <c r="BH224" s="39">
        <v>0</v>
      </c>
      <c r="BI224" s="39">
        <v>0</v>
      </c>
      <c r="BJ224" s="39">
        <v>0</v>
      </c>
      <c r="BK224" s="39">
        <v>0</v>
      </c>
      <c r="BL224" s="39">
        <f t="shared" ref="BL224:BL288" si="710">SUM(BM224)</f>
        <v>0</v>
      </c>
      <c r="BM224" s="39">
        <v>0</v>
      </c>
      <c r="BN224" s="39">
        <v>0</v>
      </c>
      <c r="BO224" s="39">
        <f>SUM(BP224:BZ224)</f>
        <v>3834</v>
      </c>
      <c r="BP224" s="39">
        <v>0</v>
      </c>
      <c r="BQ224" s="39">
        <v>0</v>
      </c>
      <c r="BR224" s="39">
        <v>0</v>
      </c>
      <c r="BS224" s="39">
        <v>0</v>
      </c>
      <c r="BT224" s="39">
        <v>0</v>
      </c>
      <c r="BU224" s="39">
        <v>0</v>
      </c>
      <c r="BV224" s="39">
        <v>0</v>
      </c>
      <c r="BW224" s="39">
        <v>0</v>
      </c>
      <c r="BX224" s="39">
        <v>0</v>
      </c>
      <c r="BY224" s="39">
        <v>3834</v>
      </c>
      <c r="BZ224" s="39">
        <v>0</v>
      </c>
      <c r="CA224" s="39">
        <f>SUM(CB224+CT224)</f>
        <v>14859</v>
      </c>
      <c r="CB224" s="39">
        <f>SUM(CC224+CF224+CL224)</f>
        <v>14859</v>
      </c>
      <c r="CC224" s="39">
        <f t="shared" ref="CC224:CC288" si="711">SUM(CD224:CE224)</f>
        <v>14859</v>
      </c>
      <c r="CD224" s="39">
        <v>0</v>
      </c>
      <c r="CE224" s="35">
        <v>14859</v>
      </c>
      <c r="CF224" s="39">
        <f>SUM(CG224:CK224)</f>
        <v>0</v>
      </c>
      <c r="CG224" s="39">
        <v>0</v>
      </c>
      <c r="CH224" s="39">
        <v>0</v>
      </c>
      <c r="CI224" s="39">
        <v>0</v>
      </c>
      <c r="CJ224" s="39">
        <v>0</v>
      </c>
      <c r="CK224" s="39">
        <v>0</v>
      </c>
      <c r="CL224" s="39">
        <f>SUM(CM224:CQ224)</f>
        <v>0</v>
      </c>
      <c r="CM224" s="39">
        <v>0</v>
      </c>
      <c r="CN224" s="39">
        <v>0</v>
      </c>
      <c r="CO224" s="39">
        <f>35612-35612</f>
        <v>0</v>
      </c>
      <c r="CP224" s="39"/>
      <c r="CQ224" s="39"/>
      <c r="CR224" s="39"/>
      <c r="CS224" s="39"/>
      <c r="CT224" s="39">
        <v>0</v>
      </c>
      <c r="CU224" s="39"/>
      <c r="CV224" s="39"/>
      <c r="CW224" s="39"/>
      <c r="CX224" s="39">
        <f t="shared" ref="CX224:CX288" si="712">SUM(CY224)</f>
        <v>0</v>
      </c>
      <c r="CY224" s="39">
        <f t="shared" ref="CY224:CY288" si="713">SUM(CZ224:DA224)</f>
        <v>0</v>
      </c>
      <c r="CZ224" s="39">
        <v>0</v>
      </c>
      <c r="DA224" s="41">
        <v>0</v>
      </c>
    </row>
    <row r="225" spans="1:105" s="88" customFormat="1" ht="15.75" x14ac:dyDescent="0.25">
      <c r="A225" s="78" t="s">
        <v>315</v>
      </c>
      <c r="B225" s="79" t="s">
        <v>1</v>
      </c>
      <c r="C225" s="80" t="s">
        <v>316</v>
      </c>
      <c r="D225" s="62">
        <f>SUM(D226:D240)</f>
        <v>413781763</v>
      </c>
      <c r="E225" s="62">
        <f t="shared" ref="E225:BQ225" si="714">SUM(E226:E240)</f>
        <v>269258098</v>
      </c>
      <c r="F225" s="62">
        <f t="shared" si="714"/>
        <v>256892260</v>
      </c>
      <c r="G225" s="62">
        <f t="shared" si="714"/>
        <v>106876708</v>
      </c>
      <c r="H225" s="62">
        <f t="shared" si="714"/>
        <v>21349385</v>
      </c>
      <c r="I225" s="62">
        <f t="shared" si="714"/>
        <v>57906989</v>
      </c>
      <c r="J225" s="62">
        <f t="shared" si="714"/>
        <v>14566575</v>
      </c>
      <c r="K225" s="62">
        <f t="shared" si="714"/>
        <v>1689457</v>
      </c>
      <c r="L225" s="62">
        <f t="shared" si="714"/>
        <v>1913099</v>
      </c>
      <c r="M225" s="62">
        <f t="shared" si="714"/>
        <v>0</v>
      </c>
      <c r="N225" s="62">
        <f t="shared" si="714"/>
        <v>12260139</v>
      </c>
      <c r="O225" s="62">
        <f t="shared" si="714"/>
        <v>27477719</v>
      </c>
      <c r="P225" s="62">
        <f t="shared" si="714"/>
        <v>560140</v>
      </c>
      <c r="Q225" s="62">
        <f t="shared" si="714"/>
        <v>89717</v>
      </c>
      <c r="R225" s="62">
        <f t="shared" si="714"/>
        <v>470423</v>
      </c>
      <c r="S225" s="62">
        <f t="shared" si="714"/>
        <v>224964</v>
      </c>
      <c r="T225" s="62">
        <f t="shared" si="714"/>
        <v>1270081</v>
      </c>
      <c r="U225" s="62">
        <f t="shared" si="714"/>
        <v>9473843</v>
      </c>
      <c r="V225" s="62">
        <f t="shared" si="714"/>
        <v>2771275</v>
      </c>
      <c r="W225" s="62">
        <f t="shared" si="714"/>
        <v>3380746</v>
      </c>
      <c r="X225" s="62">
        <f t="shared" si="714"/>
        <v>1201215</v>
      </c>
      <c r="Y225" s="62">
        <f t="shared" si="714"/>
        <v>1129443</v>
      </c>
      <c r="Z225" s="62">
        <f t="shared" si="714"/>
        <v>670281</v>
      </c>
      <c r="AA225" s="62">
        <f t="shared" si="714"/>
        <v>133016</v>
      </c>
      <c r="AB225" s="62">
        <f t="shared" si="714"/>
        <v>0</v>
      </c>
      <c r="AC225" s="62">
        <f t="shared" si="714"/>
        <v>187867</v>
      </c>
      <c r="AD225" s="62">
        <f t="shared" ref="AD225" si="715">SUM(AD226:AD240)</f>
        <v>0</v>
      </c>
      <c r="AE225" s="62">
        <f t="shared" si="714"/>
        <v>59230150</v>
      </c>
      <c r="AF225" s="62">
        <f t="shared" si="714"/>
        <v>76256</v>
      </c>
      <c r="AG225" s="62">
        <f t="shared" si="714"/>
        <v>0</v>
      </c>
      <c r="AH225" s="62">
        <f t="shared" si="714"/>
        <v>4374190</v>
      </c>
      <c r="AI225" s="62">
        <f t="shared" si="714"/>
        <v>9763191</v>
      </c>
      <c r="AJ225" s="62">
        <f t="shared" si="714"/>
        <v>476249</v>
      </c>
      <c r="AK225" s="62">
        <f t="shared" si="714"/>
        <v>1631122</v>
      </c>
      <c r="AL225" s="62">
        <f t="shared" si="714"/>
        <v>5000</v>
      </c>
      <c r="AM225" s="62">
        <f t="shared" si="714"/>
        <v>317782</v>
      </c>
      <c r="AN225" s="62">
        <f t="shared" si="714"/>
        <v>2916738</v>
      </c>
      <c r="AO225" s="62">
        <f t="shared" si="714"/>
        <v>15000</v>
      </c>
      <c r="AP225" s="62">
        <f t="shared" si="714"/>
        <v>19000</v>
      </c>
      <c r="AQ225" s="62">
        <f t="shared" si="714"/>
        <v>50000</v>
      </c>
      <c r="AR225" s="62">
        <f t="shared" si="714"/>
        <v>7784726</v>
      </c>
      <c r="AS225" s="62">
        <f t="shared" si="714"/>
        <v>275174</v>
      </c>
      <c r="AT225" s="62">
        <f t="shared" si="714"/>
        <v>899823</v>
      </c>
      <c r="AU225" s="62">
        <f t="shared" si="714"/>
        <v>0</v>
      </c>
      <c r="AV225" s="62">
        <f t="shared" si="714"/>
        <v>3618</v>
      </c>
      <c r="AW225" s="62">
        <f t="shared" si="714"/>
        <v>0</v>
      </c>
      <c r="AX225" s="62">
        <f t="shared" si="714"/>
        <v>1271578</v>
      </c>
      <c r="AY225" s="62">
        <f t="shared" si="714"/>
        <v>400434</v>
      </c>
      <c r="AZ225" s="62">
        <f t="shared" si="714"/>
        <v>100000</v>
      </c>
      <c r="BA225" s="62">
        <f t="shared" si="714"/>
        <v>28850269</v>
      </c>
      <c r="BB225" s="62">
        <f t="shared" si="714"/>
        <v>12365838</v>
      </c>
      <c r="BC225" s="62">
        <f t="shared" si="714"/>
        <v>0</v>
      </c>
      <c r="BD225" s="62">
        <f t="shared" si="714"/>
        <v>0</v>
      </c>
      <c r="BE225" s="62">
        <f t="shared" si="714"/>
        <v>0</v>
      </c>
      <c r="BF225" s="62">
        <f t="shared" si="714"/>
        <v>0</v>
      </c>
      <c r="BG225" s="62">
        <f t="shared" si="714"/>
        <v>0</v>
      </c>
      <c r="BH225" s="62">
        <f t="shared" si="714"/>
        <v>0</v>
      </c>
      <c r="BI225" s="62">
        <f t="shared" si="714"/>
        <v>0</v>
      </c>
      <c r="BJ225" s="62">
        <f t="shared" si="714"/>
        <v>12174992</v>
      </c>
      <c r="BK225" s="62">
        <f t="shared" si="714"/>
        <v>12174992</v>
      </c>
      <c r="BL225" s="62">
        <f t="shared" si="714"/>
        <v>0</v>
      </c>
      <c r="BM225" s="62">
        <f t="shared" si="714"/>
        <v>0</v>
      </c>
      <c r="BN225" s="62">
        <f t="shared" si="714"/>
        <v>0</v>
      </c>
      <c r="BO225" s="62">
        <f t="shared" si="714"/>
        <v>190846</v>
      </c>
      <c r="BP225" s="62">
        <f t="shared" si="714"/>
        <v>0</v>
      </c>
      <c r="BQ225" s="62">
        <f t="shared" si="714"/>
        <v>0</v>
      </c>
      <c r="BR225" s="62">
        <f t="shared" ref="BR225:DA225" si="716">SUM(BR226:BR240)</f>
        <v>0</v>
      </c>
      <c r="BS225" s="62">
        <f t="shared" si="716"/>
        <v>0</v>
      </c>
      <c r="BT225" s="62">
        <f t="shared" si="716"/>
        <v>0</v>
      </c>
      <c r="BU225" s="62">
        <f t="shared" si="716"/>
        <v>0</v>
      </c>
      <c r="BV225" s="62">
        <f t="shared" si="716"/>
        <v>0</v>
      </c>
      <c r="BW225" s="62">
        <f t="shared" si="716"/>
        <v>0</v>
      </c>
      <c r="BX225" s="62">
        <f t="shared" si="716"/>
        <v>0</v>
      </c>
      <c r="BY225" s="62">
        <f t="shared" si="716"/>
        <v>36502</v>
      </c>
      <c r="BZ225" s="62">
        <f t="shared" si="716"/>
        <v>154344</v>
      </c>
      <c r="CA225" s="62">
        <f t="shared" si="716"/>
        <v>55939643</v>
      </c>
      <c r="CB225" s="62">
        <f t="shared" si="716"/>
        <v>55939643</v>
      </c>
      <c r="CC225" s="62">
        <f t="shared" si="716"/>
        <v>52266932</v>
      </c>
      <c r="CD225" s="62">
        <f t="shared" si="716"/>
        <v>220580</v>
      </c>
      <c r="CE225" s="62">
        <f t="shared" si="716"/>
        <v>52046352</v>
      </c>
      <c r="CF225" s="62">
        <f t="shared" si="716"/>
        <v>0</v>
      </c>
      <c r="CG225" s="62">
        <f t="shared" si="716"/>
        <v>0</v>
      </c>
      <c r="CH225" s="62">
        <f t="shared" si="716"/>
        <v>0</v>
      </c>
      <c r="CI225" s="62">
        <f t="shared" si="716"/>
        <v>0</v>
      </c>
      <c r="CJ225" s="62">
        <f t="shared" si="716"/>
        <v>0</v>
      </c>
      <c r="CK225" s="62">
        <f t="shared" si="716"/>
        <v>0</v>
      </c>
      <c r="CL225" s="62">
        <f t="shared" si="716"/>
        <v>3672711</v>
      </c>
      <c r="CM225" s="62">
        <f t="shared" si="716"/>
        <v>100000</v>
      </c>
      <c r="CN225" s="62">
        <f t="shared" si="716"/>
        <v>785662</v>
      </c>
      <c r="CO225" s="62">
        <f t="shared" si="716"/>
        <v>2787049</v>
      </c>
      <c r="CP225" s="62">
        <f t="shared" si="716"/>
        <v>0</v>
      </c>
      <c r="CQ225" s="62">
        <f t="shared" si="716"/>
        <v>0</v>
      </c>
      <c r="CR225" s="62">
        <f t="shared" si="716"/>
        <v>0</v>
      </c>
      <c r="CS225" s="62">
        <f t="shared" si="716"/>
        <v>0</v>
      </c>
      <c r="CT225" s="62">
        <f t="shared" si="716"/>
        <v>0</v>
      </c>
      <c r="CU225" s="62">
        <f t="shared" ref="CU225:CV225" si="717">CU231</f>
        <v>88584022</v>
      </c>
      <c r="CV225" s="62">
        <f t="shared" si="717"/>
        <v>88584022</v>
      </c>
      <c r="CW225" s="62">
        <f>CW231</f>
        <v>88584022</v>
      </c>
      <c r="CX225" s="62">
        <f t="shared" si="716"/>
        <v>0</v>
      </c>
      <c r="CY225" s="62">
        <f t="shared" si="716"/>
        <v>0</v>
      </c>
      <c r="CZ225" s="62">
        <f t="shared" si="716"/>
        <v>0</v>
      </c>
      <c r="DA225" s="81">
        <f t="shared" si="716"/>
        <v>0</v>
      </c>
    </row>
    <row r="226" spans="1:105" ht="47.25" x14ac:dyDescent="0.25">
      <c r="A226" s="72" t="s">
        <v>1</v>
      </c>
      <c r="B226" s="21" t="s">
        <v>115</v>
      </c>
      <c r="C226" s="22" t="s">
        <v>610</v>
      </c>
      <c r="D226" s="18">
        <f>SUM(E226+CA226+CX226)</f>
        <v>13289300</v>
      </c>
      <c r="E226" s="19">
        <f t="shared" ref="E226:E239" si="718">SUM(F226+BB226)</f>
        <v>0</v>
      </c>
      <c r="F226" s="19">
        <f t="shared" ref="F226:F239" si="719">SUM(G226+H226+I226+P226+S226+T226+U226+AE226)</f>
        <v>0</v>
      </c>
      <c r="G226" s="19">
        <v>0</v>
      </c>
      <c r="H226" s="19">
        <v>0</v>
      </c>
      <c r="I226" s="19">
        <f t="shared" ref="I226" si="720">SUM(J226:O226)</f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f t="shared" ref="P226" si="721">SUM(Q226:R226)</f>
        <v>0</v>
      </c>
      <c r="Q226" s="19">
        <v>0</v>
      </c>
      <c r="R226" s="19">
        <v>0</v>
      </c>
      <c r="S226" s="19">
        <v>0</v>
      </c>
      <c r="T226" s="19">
        <v>0</v>
      </c>
      <c r="U226" s="19">
        <f t="shared" ref="U226" si="722">SUM(V226:AC226)</f>
        <v>0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0</v>
      </c>
      <c r="AB226" s="19">
        <v>0</v>
      </c>
      <c r="AC226" s="19">
        <v>0</v>
      </c>
      <c r="AD226" s="19">
        <v>0</v>
      </c>
      <c r="AE226" s="19">
        <f t="shared" ref="AE226" si="723">SUM(AF226:BA226)</f>
        <v>0</v>
      </c>
      <c r="AF226" s="19">
        <v>0</v>
      </c>
      <c r="AG226" s="19">
        <v>0</v>
      </c>
      <c r="AH226" s="19">
        <v>0</v>
      </c>
      <c r="AI226" s="19">
        <v>0</v>
      </c>
      <c r="AJ226" s="23">
        <v>0</v>
      </c>
      <c r="AK226" s="23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/>
      <c r="AR226" s="23"/>
      <c r="AS226" s="19">
        <v>0</v>
      </c>
      <c r="AT226" s="19">
        <v>0</v>
      </c>
      <c r="AU226" s="19">
        <v>0</v>
      </c>
      <c r="AV226" s="19">
        <v>0</v>
      </c>
      <c r="AW226" s="19">
        <v>0</v>
      </c>
      <c r="AX226" s="19">
        <v>0</v>
      </c>
      <c r="AY226" s="19">
        <v>0</v>
      </c>
      <c r="AZ226" s="19">
        <v>0</v>
      </c>
      <c r="BA226" s="24">
        <v>0</v>
      </c>
      <c r="BB226" s="19">
        <f>SUM(BC226+BG226+BJ226+BL226+BO226)</f>
        <v>0</v>
      </c>
      <c r="BC226" s="19">
        <f t="shared" ref="BC226" si="724">SUM(BD226:BF226)</f>
        <v>0</v>
      </c>
      <c r="BD226" s="19">
        <v>0</v>
      </c>
      <c r="BE226" s="19">
        <v>0</v>
      </c>
      <c r="BF226" s="19">
        <v>0</v>
      </c>
      <c r="BG226" s="19">
        <f t="shared" ref="BG226" si="725">SUM(BI226:BI226)</f>
        <v>0</v>
      </c>
      <c r="BH226" s="19">
        <v>0</v>
      </c>
      <c r="BI226" s="19">
        <v>0</v>
      </c>
      <c r="BJ226" s="19">
        <v>0</v>
      </c>
      <c r="BK226" s="19">
        <v>0</v>
      </c>
      <c r="BL226" s="19">
        <f t="shared" ref="BL226" si="726">SUM(BM226)</f>
        <v>0</v>
      </c>
      <c r="BM226" s="19">
        <v>0</v>
      </c>
      <c r="BN226" s="19">
        <v>0</v>
      </c>
      <c r="BO226" s="19">
        <f t="shared" ref="BO226" si="727">SUM(BP226:BZ226)</f>
        <v>0</v>
      </c>
      <c r="BP226" s="19">
        <v>0</v>
      </c>
      <c r="BQ226" s="19">
        <v>0</v>
      </c>
      <c r="BR226" s="19">
        <v>0</v>
      </c>
      <c r="BS226" s="19">
        <v>0</v>
      </c>
      <c r="BT226" s="19">
        <v>0</v>
      </c>
      <c r="BU226" s="19">
        <v>0</v>
      </c>
      <c r="BV226" s="19">
        <v>0</v>
      </c>
      <c r="BW226" s="19">
        <v>0</v>
      </c>
      <c r="BX226" s="19">
        <v>0</v>
      </c>
      <c r="BY226" s="19">
        <v>0</v>
      </c>
      <c r="BZ226" s="19">
        <v>0</v>
      </c>
      <c r="CA226" s="19">
        <f t="shared" ref="CA226" si="728">SUM(CB226+CT226)</f>
        <v>13289300</v>
      </c>
      <c r="CB226" s="19">
        <f t="shared" ref="CB226" si="729">SUM(CC226+CF226+CL226)</f>
        <v>13289300</v>
      </c>
      <c r="CC226" s="19">
        <f t="shared" ref="CC226" si="730">SUM(CD226:CE226)</f>
        <v>13289300</v>
      </c>
      <c r="CD226" s="19">
        <v>0</v>
      </c>
      <c r="CE226" s="19">
        <f>0+30000000-16710700</f>
        <v>13289300</v>
      </c>
      <c r="CF226" s="19">
        <f t="shared" ref="CF226" si="731">SUM(CG226:CK226)</f>
        <v>0</v>
      </c>
      <c r="CG226" s="19">
        <v>0</v>
      </c>
      <c r="CH226" s="19">
        <v>0</v>
      </c>
      <c r="CI226" s="19">
        <v>0</v>
      </c>
      <c r="CJ226" s="19">
        <v>0</v>
      </c>
      <c r="CK226" s="19">
        <v>0</v>
      </c>
      <c r="CL226" s="19">
        <f t="shared" ref="CL226" si="732">SUM(CM226:CQ226)</f>
        <v>0</v>
      </c>
      <c r="CM226" s="19">
        <v>0</v>
      </c>
      <c r="CN226" s="19">
        <v>0</v>
      </c>
      <c r="CO226" s="19">
        <v>0</v>
      </c>
      <c r="CP226" s="19"/>
      <c r="CQ226" s="19"/>
      <c r="CR226" s="19"/>
      <c r="CS226" s="19"/>
      <c r="CT226" s="19">
        <v>0</v>
      </c>
      <c r="CU226" s="19"/>
      <c r="CV226" s="19"/>
      <c r="CW226" s="19"/>
      <c r="CX226" s="19">
        <f t="shared" ref="CX226" si="733">SUM(CY226)</f>
        <v>0</v>
      </c>
      <c r="CY226" s="19">
        <f t="shared" ref="CY226" si="734">SUM(CZ226:DA226)</f>
        <v>0</v>
      </c>
      <c r="CZ226" s="19">
        <v>0</v>
      </c>
      <c r="DA226" s="20">
        <v>0</v>
      </c>
    </row>
    <row r="227" spans="1:105" ht="15.75" x14ac:dyDescent="0.25">
      <c r="A227" s="72" t="s">
        <v>1</v>
      </c>
      <c r="B227" s="21" t="s">
        <v>69</v>
      </c>
      <c r="C227" s="22" t="s">
        <v>317</v>
      </c>
      <c r="D227" s="18">
        <f>SUM(E227+CA227+CX227)</f>
        <v>7500000</v>
      </c>
      <c r="E227" s="19">
        <f t="shared" si="718"/>
        <v>7500000</v>
      </c>
      <c r="F227" s="19">
        <f t="shared" si="719"/>
        <v>7500000</v>
      </c>
      <c r="G227" s="19">
        <v>0</v>
      </c>
      <c r="H227" s="19">
        <v>0</v>
      </c>
      <c r="I227" s="19">
        <f t="shared" si="707"/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f t="shared" si="708"/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f t="shared" ref="U227:U239" si="735">SUM(V227:AC227)</f>
        <v>0</v>
      </c>
      <c r="V227" s="19">
        <v>0</v>
      </c>
      <c r="W227" s="19">
        <v>0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v>0</v>
      </c>
      <c r="AE227" s="19">
        <f t="shared" ref="AE227:AE239" si="736">SUM(AF227:BA227)</f>
        <v>7500000</v>
      </c>
      <c r="AF227" s="19">
        <v>0</v>
      </c>
      <c r="AG227" s="19">
        <v>0</v>
      </c>
      <c r="AH227" s="19">
        <v>0</v>
      </c>
      <c r="AI227" s="19">
        <v>0</v>
      </c>
      <c r="AJ227" s="23">
        <v>0</v>
      </c>
      <c r="AK227" s="23">
        <v>0</v>
      </c>
      <c r="AL227" s="19">
        <v>0</v>
      </c>
      <c r="AM227" s="19">
        <v>0</v>
      </c>
      <c r="AN227" s="19">
        <v>0</v>
      </c>
      <c r="AO227" s="19">
        <v>0</v>
      </c>
      <c r="AP227" s="19">
        <v>0</v>
      </c>
      <c r="AQ227" s="19"/>
      <c r="AR227" s="23">
        <v>7500000</v>
      </c>
      <c r="AS227" s="19">
        <v>0</v>
      </c>
      <c r="AT227" s="19">
        <v>0</v>
      </c>
      <c r="AU227" s="19">
        <v>0</v>
      </c>
      <c r="AV227" s="19">
        <v>0</v>
      </c>
      <c r="AW227" s="19">
        <v>0</v>
      </c>
      <c r="AX227" s="19">
        <v>0</v>
      </c>
      <c r="AY227" s="19">
        <v>0</v>
      </c>
      <c r="AZ227" s="19">
        <v>0</v>
      </c>
      <c r="BA227" s="24">
        <v>0</v>
      </c>
      <c r="BB227" s="19">
        <f>SUM(BC227+BG227+BJ227+BL227+BO227)</f>
        <v>0</v>
      </c>
      <c r="BC227" s="19">
        <f t="shared" ref="BC227:BC239" si="737">SUM(BD227:BF227)</f>
        <v>0</v>
      </c>
      <c r="BD227" s="19">
        <v>0</v>
      </c>
      <c r="BE227" s="19">
        <v>0</v>
      </c>
      <c r="BF227" s="19">
        <v>0</v>
      </c>
      <c r="BG227" s="19">
        <f t="shared" ref="BG227:BG239" si="738">SUM(BI227:BI227)</f>
        <v>0</v>
      </c>
      <c r="BH227" s="19">
        <v>0</v>
      </c>
      <c r="BI227" s="19">
        <v>0</v>
      </c>
      <c r="BJ227" s="19">
        <v>0</v>
      </c>
      <c r="BK227" s="19">
        <v>0</v>
      </c>
      <c r="BL227" s="19">
        <f t="shared" si="710"/>
        <v>0</v>
      </c>
      <c r="BM227" s="19">
        <v>0</v>
      </c>
      <c r="BN227" s="19">
        <v>0</v>
      </c>
      <c r="BO227" s="19">
        <f t="shared" ref="BO227:BO239" si="739">SUM(BP227:BZ227)</f>
        <v>0</v>
      </c>
      <c r="BP227" s="19">
        <v>0</v>
      </c>
      <c r="BQ227" s="19">
        <v>0</v>
      </c>
      <c r="BR227" s="19">
        <v>0</v>
      </c>
      <c r="BS227" s="19">
        <v>0</v>
      </c>
      <c r="BT227" s="19">
        <v>0</v>
      </c>
      <c r="BU227" s="19">
        <v>0</v>
      </c>
      <c r="BV227" s="19">
        <v>0</v>
      </c>
      <c r="BW227" s="19">
        <v>0</v>
      </c>
      <c r="BX227" s="19">
        <v>0</v>
      </c>
      <c r="BY227" s="19">
        <v>0</v>
      </c>
      <c r="BZ227" s="19">
        <v>0</v>
      </c>
      <c r="CA227" s="19">
        <f t="shared" ref="CA227:CA239" si="740">SUM(CB227+CT227)</f>
        <v>0</v>
      </c>
      <c r="CB227" s="19">
        <f t="shared" ref="CB227:CB239" si="741">SUM(CC227+CF227+CL227)</f>
        <v>0</v>
      </c>
      <c r="CC227" s="19">
        <f t="shared" si="711"/>
        <v>0</v>
      </c>
      <c r="CD227" s="19">
        <v>0</v>
      </c>
      <c r="CE227" s="19">
        <v>0</v>
      </c>
      <c r="CF227" s="19">
        <f t="shared" ref="CF227:CF239" si="742">SUM(CG227:CK227)</f>
        <v>0</v>
      </c>
      <c r="CG227" s="19">
        <v>0</v>
      </c>
      <c r="CH227" s="19">
        <v>0</v>
      </c>
      <c r="CI227" s="19">
        <v>0</v>
      </c>
      <c r="CJ227" s="19">
        <v>0</v>
      </c>
      <c r="CK227" s="19">
        <v>0</v>
      </c>
      <c r="CL227" s="19">
        <f t="shared" ref="CL227:CL239" si="743">SUM(CM227:CQ227)</f>
        <v>0</v>
      </c>
      <c r="CM227" s="19">
        <v>0</v>
      </c>
      <c r="CN227" s="19">
        <v>0</v>
      </c>
      <c r="CO227" s="19">
        <v>0</v>
      </c>
      <c r="CP227" s="19"/>
      <c r="CQ227" s="19"/>
      <c r="CR227" s="19"/>
      <c r="CS227" s="19"/>
      <c r="CT227" s="19">
        <v>0</v>
      </c>
      <c r="CU227" s="19"/>
      <c r="CV227" s="19"/>
      <c r="CW227" s="19"/>
      <c r="CX227" s="19">
        <f t="shared" si="712"/>
        <v>0</v>
      </c>
      <c r="CY227" s="19">
        <f t="shared" si="713"/>
        <v>0</v>
      </c>
      <c r="CZ227" s="19">
        <v>0</v>
      </c>
      <c r="DA227" s="20">
        <v>0</v>
      </c>
    </row>
    <row r="228" spans="1:105" ht="31.5" x14ac:dyDescent="0.25">
      <c r="A228" s="72" t="s">
        <v>1</v>
      </c>
      <c r="B228" s="36" t="s">
        <v>80</v>
      </c>
      <c r="C228" s="37" t="s">
        <v>503</v>
      </c>
      <c r="D228" s="18">
        <f>SUM(E228+CA228+CX228)</f>
        <v>1445613</v>
      </c>
      <c r="E228" s="19">
        <f t="shared" si="718"/>
        <v>1445613</v>
      </c>
      <c r="F228" s="19">
        <f t="shared" si="719"/>
        <v>1445613</v>
      </c>
      <c r="G228" s="19">
        <v>0</v>
      </c>
      <c r="H228" s="19">
        <v>0</v>
      </c>
      <c r="I228" s="19">
        <f>SUM(J228:O228)</f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f>32507-32507</f>
        <v>0</v>
      </c>
      <c r="P228" s="19">
        <f>SUM(Q228:R228)</f>
        <v>0</v>
      </c>
      <c r="Q228" s="19">
        <v>0</v>
      </c>
      <c r="R228" s="19">
        <v>0</v>
      </c>
      <c r="S228" s="19">
        <v>0</v>
      </c>
      <c r="T228" s="19">
        <v>0</v>
      </c>
      <c r="U228" s="19">
        <f>SUM(V228:AC228)</f>
        <v>0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0</v>
      </c>
      <c r="AE228" s="19">
        <f t="shared" si="736"/>
        <v>1445613</v>
      </c>
      <c r="AF228" s="19">
        <v>0</v>
      </c>
      <c r="AG228" s="19">
        <v>0</v>
      </c>
      <c r="AH228" s="19">
        <v>0</v>
      </c>
      <c r="AI228" s="19">
        <v>0</v>
      </c>
      <c r="AJ228" s="24"/>
      <c r="AK228" s="24"/>
      <c r="AL228" s="19"/>
      <c r="AM228" s="19">
        <v>0</v>
      </c>
      <c r="AN228" s="19">
        <v>0</v>
      </c>
      <c r="AO228" s="19">
        <v>0</v>
      </c>
      <c r="AP228" s="19">
        <v>0</v>
      </c>
      <c r="AQ228" s="19"/>
      <c r="AR228" s="19">
        <v>0</v>
      </c>
      <c r="AS228" s="19">
        <v>0</v>
      </c>
      <c r="AT228" s="19">
        <v>0</v>
      </c>
      <c r="AU228" s="19">
        <v>0</v>
      </c>
      <c r="AV228" s="19">
        <v>0</v>
      </c>
      <c r="AW228" s="19">
        <v>0</v>
      </c>
      <c r="AX228" s="19">
        <v>0</v>
      </c>
      <c r="AY228" s="19">
        <v>0</v>
      </c>
      <c r="AZ228" s="19">
        <v>0</v>
      </c>
      <c r="BA228" s="24">
        <v>1445613</v>
      </c>
      <c r="BB228" s="19"/>
      <c r="BC228" s="19">
        <f>SUM(BD228:BF228)</f>
        <v>0</v>
      </c>
      <c r="BD228" s="19">
        <v>0</v>
      </c>
      <c r="BE228" s="19">
        <v>0</v>
      </c>
      <c r="BF228" s="19">
        <v>0</v>
      </c>
      <c r="BG228" s="19">
        <f>SUM(BI228:BI228)</f>
        <v>0</v>
      </c>
      <c r="BH228" s="19">
        <v>0</v>
      </c>
      <c r="BI228" s="19">
        <v>0</v>
      </c>
      <c r="BJ228" s="19"/>
      <c r="BK228" s="19">
        <v>0</v>
      </c>
      <c r="BL228" s="19">
        <f>SUM(BM228)</f>
        <v>0</v>
      </c>
      <c r="BM228" s="19">
        <v>0</v>
      </c>
      <c r="BN228" s="19">
        <v>0</v>
      </c>
      <c r="BO228" s="19">
        <f t="shared" si="739"/>
        <v>0</v>
      </c>
      <c r="BP228" s="19">
        <v>0</v>
      </c>
      <c r="BQ228" s="19">
        <v>0</v>
      </c>
      <c r="BR228" s="19">
        <v>0</v>
      </c>
      <c r="BS228" s="19">
        <v>0</v>
      </c>
      <c r="BT228" s="19">
        <v>0</v>
      </c>
      <c r="BU228" s="19">
        <v>0</v>
      </c>
      <c r="BV228" s="19">
        <v>0</v>
      </c>
      <c r="BW228" s="19">
        <v>0</v>
      </c>
      <c r="BX228" s="19">
        <v>0</v>
      </c>
      <c r="BY228" s="19">
        <v>0</v>
      </c>
      <c r="BZ228" s="19">
        <v>0</v>
      </c>
      <c r="CA228" s="19">
        <f t="shared" si="740"/>
        <v>0</v>
      </c>
      <c r="CB228" s="19">
        <f t="shared" si="741"/>
        <v>0</v>
      </c>
      <c r="CC228" s="19">
        <f>SUM(CD228:CE228)</f>
        <v>0</v>
      </c>
      <c r="CD228" s="19">
        <v>0</v>
      </c>
      <c r="CE228" s="19">
        <v>0</v>
      </c>
      <c r="CF228" s="19">
        <f t="shared" si="742"/>
        <v>0</v>
      </c>
      <c r="CG228" s="19">
        <v>0</v>
      </c>
      <c r="CH228" s="19">
        <v>0</v>
      </c>
      <c r="CI228" s="19">
        <v>0</v>
      </c>
      <c r="CJ228" s="19">
        <v>0</v>
      </c>
      <c r="CK228" s="19">
        <v>0</v>
      </c>
      <c r="CL228" s="19">
        <f>SUM(CM228:CQ228)</f>
        <v>0</v>
      </c>
      <c r="CM228" s="19">
        <v>0</v>
      </c>
      <c r="CN228" s="19">
        <v>0</v>
      </c>
      <c r="CO228" s="19">
        <v>0</v>
      </c>
      <c r="CP228" s="19"/>
      <c r="CQ228" s="19"/>
      <c r="CR228" s="19"/>
      <c r="CS228" s="19"/>
      <c r="CT228" s="19">
        <v>0</v>
      </c>
      <c r="CU228" s="19"/>
      <c r="CV228" s="19"/>
      <c r="CW228" s="19"/>
      <c r="CX228" s="19">
        <f>SUM(CY228)</f>
        <v>0</v>
      </c>
      <c r="CY228" s="19">
        <f>SUM(CZ228:DA228)</f>
        <v>0</v>
      </c>
      <c r="CZ228" s="19">
        <v>0</v>
      </c>
      <c r="DA228" s="20">
        <v>0</v>
      </c>
    </row>
    <row r="229" spans="1:105" ht="47.25" x14ac:dyDescent="0.25">
      <c r="A229" s="72" t="s">
        <v>1</v>
      </c>
      <c r="B229" s="36" t="s">
        <v>80</v>
      </c>
      <c r="C229" s="37" t="s">
        <v>635</v>
      </c>
      <c r="D229" s="18">
        <f>SUM(E229+CA229+CX229)</f>
        <v>270160</v>
      </c>
      <c r="E229" s="19">
        <f t="shared" si="718"/>
        <v>0</v>
      </c>
      <c r="F229" s="19">
        <f t="shared" si="719"/>
        <v>0</v>
      </c>
      <c r="G229" s="19">
        <v>0</v>
      </c>
      <c r="H229" s="19">
        <v>0</v>
      </c>
      <c r="I229" s="19">
        <f>SUM(J229:O229)</f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f>32507-32507</f>
        <v>0</v>
      </c>
      <c r="P229" s="19">
        <f>SUM(Q229:R229)</f>
        <v>0</v>
      </c>
      <c r="Q229" s="19">
        <v>0</v>
      </c>
      <c r="R229" s="19">
        <v>0</v>
      </c>
      <c r="S229" s="19">
        <v>0</v>
      </c>
      <c r="T229" s="19">
        <v>0</v>
      </c>
      <c r="U229" s="19">
        <f>SUM(V229:AC229)</f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f t="shared" ref="AE229:AE230" si="744">SUM(AF229:BA229)</f>
        <v>0</v>
      </c>
      <c r="AF229" s="19">
        <v>0</v>
      </c>
      <c r="AG229" s="19">
        <v>0</v>
      </c>
      <c r="AH229" s="19">
        <v>0</v>
      </c>
      <c r="AI229" s="19">
        <v>0</v>
      </c>
      <c r="AJ229" s="24"/>
      <c r="AK229" s="24"/>
      <c r="AL229" s="19"/>
      <c r="AM229" s="19">
        <v>0</v>
      </c>
      <c r="AN229" s="19">
        <v>0</v>
      </c>
      <c r="AO229" s="19">
        <v>0</v>
      </c>
      <c r="AP229" s="19">
        <v>0</v>
      </c>
      <c r="AQ229" s="19"/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19">
        <v>0</v>
      </c>
      <c r="BA229" s="24"/>
      <c r="BB229" s="19"/>
      <c r="BC229" s="19">
        <f>SUM(BD229:BF229)</f>
        <v>0</v>
      </c>
      <c r="BD229" s="19">
        <v>0</v>
      </c>
      <c r="BE229" s="19">
        <v>0</v>
      </c>
      <c r="BF229" s="19">
        <v>0</v>
      </c>
      <c r="BG229" s="19">
        <f>SUM(BI229:BI229)</f>
        <v>0</v>
      </c>
      <c r="BH229" s="19">
        <v>0</v>
      </c>
      <c r="BI229" s="19">
        <v>0</v>
      </c>
      <c r="BJ229" s="19"/>
      <c r="BK229" s="19">
        <v>0</v>
      </c>
      <c r="BL229" s="19">
        <f>SUM(BM229)</f>
        <v>0</v>
      </c>
      <c r="BM229" s="19">
        <v>0</v>
      </c>
      <c r="BN229" s="19">
        <v>0</v>
      </c>
      <c r="BO229" s="19">
        <f t="shared" ref="BO229:BO230" si="745">SUM(BP229:BZ229)</f>
        <v>0</v>
      </c>
      <c r="BP229" s="19">
        <v>0</v>
      </c>
      <c r="BQ229" s="19">
        <v>0</v>
      </c>
      <c r="BR229" s="19">
        <v>0</v>
      </c>
      <c r="BS229" s="19">
        <v>0</v>
      </c>
      <c r="BT229" s="19">
        <v>0</v>
      </c>
      <c r="BU229" s="19">
        <v>0</v>
      </c>
      <c r="BV229" s="19">
        <v>0</v>
      </c>
      <c r="BW229" s="19">
        <v>0</v>
      </c>
      <c r="BX229" s="19">
        <v>0</v>
      </c>
      <c r="BY229" s="19">
        <v>0</v>
      </c>
      <c r="BZ229" s="19">
        <v>0</v>
      </c>
      <c r="CA229" s="19">
        <f t="shared" ref="CA229:CA230" si="746">SUM(CB229+CT229)</f>
        <v>270160</v>
      </c>
      <c r="CB229" s="19">
        <f t="shared" ref="CB229:CB230" si="747">SUM(CC229+CF229+CL229)</f>
        <v>270160</v>
      </c>
      <c r="CC229" s="19">
        <f>SUM(CD229:CE229)</f>
        <v>270160</v>
      </c>
      <c r="CD229" s="19">
        <v>0</v>
      </c>
      <c r="CE229" s="19">
        <f>0+1270160-1000000</f>
        <v>270160</v>
      </c>
      <c r="CF229" s="19">
        <f t="shared" ref="CF229:CF230" si="748">SUM(CG229:CK229)</f>
        <v>0</v>
      </c>
      <c r="CG229" s="19">
        <v>0</v>
      </c>
      <c r="CH229" s="19">
        <v>0</v>
      </c>
      <c r="CI229" s="19">
        <v>0</v>
      </c>
      <c r="CJ229" s="19">
        <v>0</v>
      </c>
      <c r="CK229" s="19">
        <v>0</v>
      </c>
      <c r="CL229" s="19">
        <f>SUM(CM229:CQ229)</f>
        <v>0</v>
      </c>
      <c r="CM229" s="19">
        <v>0</v>
      </c>
      <c r="CN229" s="19">
        <v>0</v>
      </c>
      <c r="CO229" s="19">
        <v>0</v>
      </c>
      <c r="CP229" s="19"/>
      <c r="CQ229" s="19"/>
      <c r="CR229" s="19"/>
      <c r="CS229" s="19"/>
      <c r="CT229" s="19">
        <v>0</v>
      </c>
      <c r="CU229" s="19"/>
      <c r="CV229" s="19"/>
      <c r="CW229" s="19"/>
      <c r="CX229" s="19">
        <f>SUM(CY229)</f>
        <v>0</v>
      </c>
      <c r="CY229" s="19">
        <f>SUM(CZ229:DA229)</f>
        <v>0</v>
      </c>
      <c r="CZ229" s="19">
        <v>0</v>
      </c>
      <c r="DA229" s="20">
        <v>0</v>
      </c>
    </row>
    <row r="230" spans="1:105" s="87" customFormat="1" ht="15.75" x14ac:dyDescent="0.25">
      <c r="A230" s="75" t="s">
        <v>1</v>
      </c>
      <c r="B230" s="60" t="s">
        <v>80</v>
      </c>
      <c r="C230" s="61" t="s">
        <v>643</v>
      </c>
      <c r="D230" s="62">
        <f>SUM(E230+CA230+CX230+CU230)</f>
        <v>11343719</v>
      </c>
      <c r="E230" s="63">
        <f t="shared" ref="E230" si="749">SUM(F230+BB230)</f>
        <v>11343719</v>
      </c>
      <c r="F230" s="63">
        <f t="shared" ref="F230" si="750">SUM(G230+H230+I230+P230+S230+T230+U230+AE230)</f>
        <v>11343719</v>
      </c>
      <c r="G230" s="63">
        <v>0</v>
      </c>
      <c r="H230" s="63">
        <v>0</v>
      </c>
      <c r="I230" s="63">
        <f>SUM(J230:O230)</f>
        <v>0</v>
      </c>
      <c r="J230" s="63">
        <v>0</v>
      </c>
      <c r="K230" s="63">
        <v>0</v>
      </c>
      <c r="L230" s="63">
        <v>0</v>
      </c>
      <c r="M230" s="63">
        <v>0</v>
      </c>
      <c r="N230" s="63">
        <v>0</v>
      </c>
      <c r="O230" s="63">
        <f>32507-32507</f>
        <v>0</v>
      </c>
      <c r="P230" s="63">
        <f>SUM(Q230:R230)</f>
        <v>0</v>
      </c>
      <c r="Q230" s="63">
        <v>0</v>
      </c>
      <c r="R230" s="63">
        <v>0</v>
      </c>
      <c r="S230" s="63">
        <v>0</v>
      </c>
      <c r="T230" s="63">
        <v>0</v>
      </c>
      <c r="U230" s="63">
        <f>SUM(V230:AC230)</f>
        <v>0</v>
      </c>
      <c r="V230" s="63">
        <v>0</v>
      </c>
      <c r="W230" s="63">
        <v>0</v>
      </c>
      <c r="X230" s="63">
        <v>0</v>
      </c>
      <c r="Y230" s="63">
        <v>0</v>
      </c>
      <c r="Z230" s="63">
        <v>0</v>
      </c>
      <c r="AA230" s="63">
        <v>0</v>
      </c>
      <c r="AB230" s="63">
        <v>0</v>
      </c>
      <c r="AC230" s="63">
        <v>0</v>
      </c>
      <c r="AD230" s="63">
        <v>0</v>
      </c>
      <c r="AE230" s="63">
        <f t="shared" si="744"/>
        <v>11343719</v>
      </c>
      <c r="AF230" s="63">
        <v>0</v>
      </c>
      <c r="AG230" s="63">
        <v>0</v>
      </c>
      <c r="AH230" s="63">
        <v>0</v>
      </c>
      <c r="AI230" s="63">
        <v>0</v>
      </c>
      <c r="AJ230" s="65"/>
      <c r="AK230" s="65"/>
      <c r="AL230" s="63"/>
      <c r="AM230" s="63">
        <v>0</v>
      </c>
      <c r="AN230" s="63"/>
      <c r="AO230" s="63">
        <v>0</v>
      </c>
      <c r="AP230" s="63">
        <v>0</v>
      </c>
      <c r="AQ230" s="63"/>
      <c r="AR230" s="63">
        <v>0</v>
      </c>
      <c r="AS230" s="63">
        <v>0</v>
      </c>
      <c r="AT230" s="63">
        <v>0</v>
      </c>
      <c r="AU230" s="63">
        <v>0</v>
      </c>
      <c r="AV230" s="63">
        <v>0</v>
      </c>
      <c r="AW230" s="63">
        <v>0</v>
      </c>
      <c r="AX230" s="63">
        <v>0</v>
      </c>
      <c r="AY230" s="63">
        <v>0</v>
      </c>
      <c r="AZ230" s="63">
        <v>0</v>
      </c>
      <c r="BA230" s="65">
        <f>0+11343719</f>
        <v>11343719</v>
      </c>
      <c r="BB230" s="63"/>
      <c r="BC230" s="63">
        <f>SUM(BD230:BF230)</f>
        <v>0</v>
      </c>
      <c r="BD230" s="63">
        <v>0</v>
      </c>
      <c r="BE230" s="63">
        <v>0</v>
      </c>
      <c r="BF230" s="63">
        <v>0</v>
      </c>
      <c r="BG230" s="63">
        <f>SUM(BI230:BI230)</f>
        <v>0</v>
      </c>
      <c r="BH230" s="63">
        <v>0</v>
      </c>
      <c r="BI230" s="63">
        <v>0</v>
      </c>
      <c r="BJ230" s="63"/>
      <c r="BK230" s="63">
        <v>0</v>
      </c>
      <c r="BL230" s="63">
        <f>SUM(BM230)</f>
        <v>0</v>
      </c>
      <c r="BM230" s="63">
        <v>0</v>
      </c>
      <c r="BN230" s="63">
        <v>0</v>
      </c>
      <c r="BO230" s="63">
        <f t="shared" si="745"/>
        <v>0</v>
      </c>
      <c r="BP230" s="63">
        <v>0</v>
      </c>
      <c r="BQ230" s="63">
        <v>0</v>
      </c>
      <c r="BR230" s="63">
        <v>0</v>
      </c>
      <c r="BS230" s="63">
        <v>0</v>
      </c>
      <c r="BT230" s="63">
        <v>0</v>
      </c>
      <c r="BU230" s="63">
        <v>0</v>
      </c>
      <c r="BV230" s="63">
        <v>0</v>
      </c>
      <c r="BW230" s="63">
        <v>0</v>
      </c>
      <c r="BX230" s="63">
        <v>0</v>
      </c>
      <c r="BY230" s="63">
        <v>0</v>
      </c>
      <c r="BZ230" s="63">
        <v>0</v>
      </c>
      <c r="CA230" s="63">
        <f t="shared" si="746"/>
        <v>0</v>
      </c>
      <c r="CB230" s="63">
        <f t="shared" si="747"/>
        <v>0</v>
      </c>
      <c r="CC230" s="63">
        <f>SUM(CD230:CE230)</f>
        <v>0</v>
      </c>
      <c r="CD230" s="63">
        <v>0</v>
      </c>
      <c r="CE230" s="63"/>
      <c r="CF230" s="63">
        <f t="shared" si="748"/>
        <v>0</v>
      </c>
      <c r="CG230" s="63">
        <v>0</v>
      </c>
      <c r="CH230" s="63">
        <v>0</v>
      </c>
      <c r="CI230" s="63">
        <v>0</v>
      </c>
      <c r="CJ230" s="63">
        <v>0</v>
      </c>
      <c r="CK230" s="63">
        <v>0</v>
      </c>
      <c r="CL230" s="63">
        <f>SUM(CM230:CQ230)</f>
        <v>0</v>
      </c>
      <c r="CM230" s="63">
        <v>0</v>
      </c>
      <c r="CN230" s="63">
        <v>0</v>
      </c>
      <c r="CO230" s="63">
        <v>0</v>
      </c>
      <c r="CP230" s="63"/>
      <c r="CQ230" s="63"/>
      <c r="CR230" s="63"/>
      <c r="CS230" s="63"/>
      <c r="CT230" s="63">
        <v>0</v>
      </c>
      <c r="CU230" s="63">
        <f>CV230</f>
        <v>0</v>
      </c>
      <c r="CV230" s="63">
        <f>CW230</f>
        <v>0</v>
      </c>
      <c r="CW230" s="63"/>
      <c r="CX230" s="63">
        <f>SUM(CY230)</f>
        <v>0</v>
      </c>
      <c r="CY230" s="63">
        <f>SUM(CZ230:DA230)</f>
        <v>0</v>
      </c>
      <c r="CZ230" s="63">
        <v>0</v>
      </c>
      <c r="DA230" s="66">
        <v>0</v>
      </c>
    </row>
    <row r="231" spans="1:105" s="87" customFormat="1" ht="15.75" x14ac:dyDescent="0.25">
      <c r="A231" s="75" t="s">
        <v>1</v>
      </c>
      <c r="B231" s="60" t="s">
        <v>80</v>
      </c>
      <c r="C231" s="61" t="s">
        <v>611</v>
      </c>
      <c r="D231" s="62">
        <f>SUM(E231+CA231+CX231+CU231)</f>
        <v>88584022</v>
      </c>
      <c r="E231" s="63">
        <f t="shared" si="718"/>
        <v>0</v>
      </c>
      <c r="F231" s="63">
        <f t="shared" si="719"/>
        <v>0</v>
      </c>
      <c r="G231" s="63">
        <v>0</v>
      </c>
      <c r="H231" s="63">
        <v>0</v>
      </c>
      <c r="I231" s="63">
        <f>SUM(J231:O231)</f>
        <v>0</v>
      </c>
      <c r="J231" s="63">
        <v>0</v>
      </c>
      <c r="K231" s="63">
        <v>0</v>
      </c>
      <c r="L231" s="63">
        <v>0</v>
      </c>
      <c r="M231" s="63">
        <v>0</v>
      </c>
      <c r="N231" s="63">
        <v>0</v>
      </c>
      <c r="O231" s="63">
        <f>32507-32507</f>
        <v>0</v>
      </c>
      <c r="P231" s="63">
        <f>SUM(Q231:R231)</f>
        <v>0</v>
      </c>
      <c r="Q231" s="63">
        <v>0</v>
      </c>
      <c r="R231" s="63">
        <v>0</v>
      </c>
      <c r="S231" s="63">
        <v>0</v>
      </c>
      <c r="T231" s="63">
        <v>0</v>
      </c>
      <c r="U231" s="63">
        <f>SUM(V231:AC231)</f>
        <v>0</v>
      </c>
      <c r="V231" s="63">
        <v>0</v>
      </c>
      <c r="W231" s="63">
        <v>0</v>
      </c>
      <c r="X231" s="63">
        <v>0</v>
      </c>
      <c r="Y231" s="63">
        <v>0</v>
      </c>
      <c r="Z231" s="63">
        <v>0</v>
      </c>
      <c r="AA231" s="63">
        <v>0</v>
      </c>
      <c r="AB231" s="63">
        <v>0</v>
      </c>
      <c r="AC231" s="63">
        <v>0</v>
      </c>
      <c r="AD231" s="63">
        <v>0</v>
      </c>
      <c r="AE231" s="63">
        <f t="shared" ref="AE231" si="751">SUM(AF231:BA231)</f>
        <v>0</v>
      </c>
      <c r="AF231" s="63">
        <v>0</v>
      </c>
      <c r="AG231" s="63">
        <v>0</v>
      </c>
      <c r="AH231" s="63">
        <v>0</v>
      </c>
      <c r="AI231" s="63">
        <v>0</v>
      </c>
      <c r="AJ231" s="65"/>
      <c r="AK231" s="65"/>
      <c r="AL231" s="63"/>
      <c r="AM231" s="63">
        <v>0</v>
      </c>
      <c r="AN231" s="63">
        <v>0</v>
      </c>
      <c r="AO231" s="63">
        <v>0</v>
      </c>
      <c r="AP231" s="63">
        <v>0</v>
      </c>
      <c r="AQ231" s="63"/>
      <c r="AR231" s="63">
        <v>0</v>
      </c>
      <c r="AS231" s="63">
        <v>0</v>
      </c>
      <c r="AT231" s="63">
        <v>0</v>
      </c>
      <c r="AU231" s="63">
        <v>0</v>
      </c>
      <c r="AV231" s="63">
        <v>0</v>
      </c>
      <c r="AW231" s="63">
        <v>0</v>
      </c>
      <c r="AX231" s="63">
        <v>0</v>
      </c>
      <c r="AY231" s="63">
        <v>0</v>
      </c>
      <c r="AZ231" s="63">
        <v>0</v>
      </c>
      <c r="BA231" s="65"/>
      <c r="BB231" s="63"/>
      <c r="BC231" s="63">
        <f>SUM(BD231:BF231)</f>
        <v>0</v>
      </c>
      <c r="BD231" s="63">
        <v>0</v>
      </c>
      <c r="BE231" s="63">
        <v>0</v>
      </c>
      <c r="BF231" s="63">
        <v>0</v>
      </c>
      <c r="BG231" s="63">
        <f>SUM(BI231:BI231)</f>
        <v>0</v>
      </c>
      <c r="BH231" s="63">
        <v>0</v>
      </c>
      <c r="BI231" s="63">
        <v>0</v>
      </c>
      <c r="BJ231" s="63"/>
      <c r="BK231" s="63">
        <v>0</v>
      </c>
      <c r="BL231" s="63">
        <f>SUM(BM231)</f>
        <v>0</v>
      </c>
      <c r="BM231" s="63">
        <v>0</v>
      </c>
      <c r="BN231" s="63">
        <v>0</v>
      </c>
      <c r="BO231" s="63">
        <f t="shared" ref="BO231" si="752">SUM(BP231:BZ231)</f>
        <v>0</v>
      </c>
      <c r="BP231" s="63">
        <v>0</v>
      </c>
      <c r="BQ231" s="63">
        <v>0</v>
      </c>
      <c r="BR231" s="63">
        <v>0</v>
      </c>
      <c r="BS231" s="63">
        <v>0</v>
      </c>
      <c r="BT231" s="63">
        <v>0</v>
      </c>
      <c r="BU231" s="63">
        <v>0</v>
      </c>
      <c r="BV231" s="63">
        <v>0</v>
      </c>
      <c r="BW231" s="63">
        <v>0</v>
      </c>
      <c r="BX231" s="63">
        <v>0</v>
      </c>
      <c r="BY231" s="63">
        <v>0</v>
      </c>
      <c r="BZ231" s="63">
        <v>0</v>
      </c>
      <c r="CA231" s="63">
        <f t="shared" ref="CA231" si="753">SUM(CB231+CT231)</f>
        <v>0</v>
      </c>
      <c r="CB231" s="63">
        <f t="shared" ref="CB231" si="754">SUM(CC231+CF231+CL231)</f>
        <v>0</v>
      </c>
      <c r="CC231" s="63">
        <f>SUM(CD231:CE231)</f>
        <v>0</v>
      </c>
      <c r="CD231" s="63">
        <v>0</v>
      </c>
      <c r="CE231" s="63"/>
      <c r="CF231" s="63">
        <f t="shared" ref="CF231" si="755">SUM(CG231:CK231)</f>
        <v>0</v>
      </c>
      <c r="CG231" s="63">
        <v>0</v>
      </c>
      <c r="CH231" s="63">
        <v>0</v>
      </c>
      <c r="CI231" s="63">
        <v>0</v>
      </c>
      <c r="CJ231" s="63">
        <v>0</v>
      </c>
      <c r="CK231" s="63">
        <v>0</v>
      </c>
      <c r="CL231" s="63">
        <f>SUM(CM231:CQ231)</f>
        <v>0</v>
      </c>
      <c r="CM231" s="63">
        <v>0</v>
      </c>
      <c r="CN231" s="63">
        <v>0</v>
      </c>
      <c r="CO231" s="63">
        <v>0</v>
      </c>
      <c r="CP231" s="63"/>
      <c r="CQ231" s="63"/>
      <c r="CR231" s="63"/>
      <c r="CS231" s="63"/>
      <c r="CT231" s="63">
        <v>0</v>
      </c>
      <c r="CU231" s="63">
        <f>CV231</f>
        <v>88584022</v>
      </c>
      <c r="CV231" s="63">
        <f>CW231</f>
        <v>88584022</v>
      </c>
      <c r="CW231" s="63">
        <f>0+8527451+80056571</f>
        <v>88584022</v>
      </c>
      <c r="CX231" s="63">
        <f>SUM(CY231)</f>
        <v>0</v>
      </c>
      <c r="CY231" s="63">
        <f>SUM(CZ231:DA231)</f>
        <v>0</v>
      </c>
      <c r="CZ231" s="63">
        <v>0</v>
      </c>
      <c r="DA231" s="66">
        <v>0</v>
      </c>
    </row>
    <row r="232" spans="1:105" ht="31.5" x14ac:dyDescent="0.25">
      <c r="A232" s="74"/>
      <c r="B232" s="42" t="s">
        <v>82</v>
      </c>
      <c r="C232" s="43" t="s">
        <v>487</v>
      </c>
      <c r="D232" s="38">
        <f t="shared" ref="D232:D239" si="756">SUM(E232+CA232+CX232)</f>
        <v>166450</v>
      </c>
      <c r="E232" s="39">
        <f t="shared" si="718"/>
        <v>166450</v>
      </c>
      <c r="F232" s="39">
        <f t="shared" si="719"/>
        <v>166450</v>
      </c>
      <c r="G232" s="39">
        <v>0</v>
      </c>
      <c r="H232" s="39">
        <v>0</v>
      </c>
      <c r="I232" s="39">
        <f t="shared" ref="I232" si="757">SUM(J232:O232)</f>
        <v>0</v>
      </c>
      <c r="J232" s="39">
        <v>0</v>
      </c>
      <c r="K232" s="39">
        <v>0</v>
      </c>
      <c r="L232" s="39">
        <v>0</v>
      </c>
      <c r="M232" s="39">
        <v>0</v>
      </c>
      <c r="N232" s="39">
        <v>0</v>
      </c>
      <c r="O232" s="39">
        <v>0</v>
      </c>
      <c r="P232" s="39">
        <f t="shared" ref="P232" si="758">SUM(Q232:R232)</f>
        <v>0</v>
      </c>
      <c r="Q232" s="39">
        <v>0</v>
      </c>
      <c r="R232" s="39">
        <v>0</v>
      </c>
      <c r="S232" s="39">
        <v>0</v>
      </c>
      <c r="T232" s="39">
        <v>0</v>
      </c>
      <c r="U232" s="39">
        <f t="shared" si="735"/>
        <v>0</v>
      </c>
      <c r="V232" s="39">
        <v>0</v>
      </c>
      <c r="W232" s="39">
        <v>0</v>
      </c>
      <c r="X232" s="39">
        <v>0</v>
      </c>
      <c r="Y232" s="39">
        <v>0</v>
      </c>
      <c r="Z232" s="39">
        <v>0</v>
      </c>
      <c r="AA232" s="39">
        <v>0</v>
      </c>
      <c r="AB232" s="39">
        <v>0</v>
      </c>
      <c r="AC232" s="39">
        <v>0</v>
      </c>
      <c r="AD232" s="40"/>
      <c r="AE232" s="39">
        <f t="shared" si="736"/>
        <v>166450</v>
      </c>
      <c r="AF232" s="40"/>
      <c r="AG232" s="40"/>
      <c r="AH232" s="39">
        <v>0</v>
      </c>
      <c r="AI232" s="39">
        <v>0</v>
      </c>
      <c r="AJ232" s="35">
        <v>166450</v>
      </c>
      <c r="AK232" s="35">
        <v>0</v>
      </c>
      <c r="AL232" s="39">
        <v>0</v>
      </c>
      <c r="AM232" s="39">
        <v>0</v>
      </c>
      <c r="AN232" s="39">
        <v>0</v>
      </c>
      <c r="AO232" s="39">
        <v>0</v>
      </c>
      <c r="AP232" s="39">
        <v>0</v>
      </c>
      <c r="AQ232" s="39"/>
      <c r="AR232" s="39">
        <v>0</v>
      </c>
      <c r="AS232" s="39">
        <v>0</v>
      </c>
      <c r="AT232" s="39">
        <v>0</v>
      </c>
      <c r="AU232" s="39">
        <v>0</v>
      </c>
      <c r="AV232" s="39">
        <v>0</v>
      </c>
      <c r="AW232" s="39">
        <v>0</v>
      </c>
      <c r="AX232" s="39">
        <v>0</v>
      </c>
      <c r="AY232" s="39">
        <v>0</v>
      </c>
      <c r="AZ232" s="39">
        <v>0</v>
      </c>
      <c r="BA232" s="39"/>
      <c r="BB232" s="39">
        <f t="shared" ref="BB232:BB236" si="759">SUM(BC232+BG232+BJ232+BL232+BO232)</f>
        <v>0</v>
      </c>
      <c r="BC232" s="39">
        <f t="shared" si="737"/>
        <v>0</v>
      </c>
      <c r="BD232" s="39">
        <v>0</v>
      </c>
      <c r="BE232" s="39">
        <v>0</v>
      </c>
      <c r="BF232" s="39">
        <v>0</v>
      </c>
      <c r="BG232" s="39">
        <f t="shared" si="738"/>
        <v>0</v>
      </c>
      <c r="BH232" s="39">
        <v>0</v>
      </c>
      <c r="BI232" s="39">
        <v>0</v>
      </c>
      <c r="BJ232" s="39">
        <v>0</v>
      </c>
      <c r="BK232" s="39">
        <v>0</v>
      </c>
      <c r="BL232" s="39">
        <f t="shared" si="710"/>
        <v>0</v>
      </c>
      <c r="BM232" s="39">
        <v>0</v>
      </c>
      <c r="BN232" s="39">
        <v>0</v>
      </c>
      <c r="BO232" s="39">
        <f t="shared" si="739"/>
        <v>0</v>
      </c>
      <c r="BP232" s="39">
        <v>0</v>
      </c>
      <c r="BQ232" s="39">
        <v>0</v>
      </c>
      <c r="BR232" s="39">
        <v>0</v>
      </c>
      <c r="BS232" s="39">
        <v>0</v>
      </c>
      <c r="BT232" s="39">
        <v>0</v>
      </c>
      <c r="BU232" s="39">
        <v>0</v>
      </c>
      <c r="BV232" s="39">
        <v>0</v>
      </c>
      <c r="BW232" s="39">
        <v>0</v>
      </c>
      <c r="BX232" s="39">
        <v>0</v>
      </c>
      <c r="BY232" s="39">
        <v>0</v>
      </c>
      <c r="BZ232" s="39">
        <v>0</v>
      </c>
      <c r="CA232" s="39">
        <f t="shared" si="740"/>
        <v>0</v>
      </c>
      <c r="CB232" s="39">
        <f t="shared" si="741"/>
        <v>0</v>
      </c>
      <c r="CC232" s="39">
        <f t="shared" ref="CC232" si="760">SUM(CD232:CE232)</f>
        <v>0</v>
      </c>
      <c r="CD232" s="39">
        <v>0</v>
      </c>
      <c r="CE232" s="39">
        <v>0</v>
      </c>
      <c r="CF232" s="19">
        <f t="shared" si="742"/>
        <v>0</v>
      </c>
      <c r="CG232" s="39">
        <v>0</v>
      </c>
      <c r="CH232" s="39">
        <v>0</v>
      </c>
      <c r="CI232" s="39">
        <v>0</v>
      </c>
      <c r="CJ232" s="39">
        <v>0</v>
      </c>
      <c r="CK232" s="39">
        <v>0</v>
      </c>
      <c r="CL232" s="39">
        <f t="shared" si="743"/>
        <v>0</v>
      </c>
      <c r="CM232" s="39">
        <v>0</v>
      </c>
      <c r="CN232" s="39">
        <v>0</v>
      </c>
      <c r="CO232" s="39">
        <v>0</v>
      </c>
      <c r="CP232" s="39"/>
      <c r="CQ232" s="39"/>
      <c r="CR232" s="39"/>
      <c r="CS232" s="39"/>
      <c r="CT232" s="39">
        <v>0</v>
      </c>
      <c r="CU232" s="39"/>
      <c r="CV232" s="39"/>
      <c r="CW232" s="39"/>
      <c r="CX232" s="39">
        <f t="shared" si="712"/>
        <v>0</v>
      </c>
      <c r="CY232" s="39">
        <f t="shared" si="713"/>
        <v>0</v>
      </c>
      <c r="CZ232" s="39">
        <v>0</v>
      </c>
      <c r="DA232" s="41">
        <v>0</v>
      </c>
    </row>
    <row r="233" spans="1:105" ht="47.25" x14ac:dyDescent="0.25">
      <c r="A233" s="74"/>
      <c r="B233" s="42">
        <v>113</v>
      </c>
      <c r="C233" s="43" t="s">
        <v>552</v>
      </c>
      <c r="D233" s="38">
        <f t="shared" si="756"/>
        <v>25149842</v>
      </c>
      <c r="E233" s="39">
        <f t="shared" si="718"/>
        <v>1005262</v>
      </c>
      <c r="F233" s="39">
        <f t="shared" si="719"/>
        <v>1005262</v>
      </c>
      <c r="G233" s="39">
        <v>0</v>
      </c>
      <c r="H233" s="39">
        <v>0</v>
      </c>
      <c r="I233" s="39">
        <f t="shared" ref="I233" si="761">SUM(J233:O233)</f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0</v>
      </c>
      <c r="O233" s="35"/>
      <c r="P233" s="39">
        <f t="shared" ref="P233" si="762">SUM(Q233:R233)</f>
        <v>0</v>
      </c>
      <c r="Q233" s="39">
        <v>0</v>
      </c>
      <c r="R233" s="39">
        <v>0</v>
      </c>
      <c r="S233" s="39">
        <v>0</v>
      </c>
      <c r="T233" s="39">
        <v>0</v>
      </c>
      <c r="U233" s="39">
        <f t="shared" ref="U233" si="763">SUM(V233:AC233)</f>
        <v>0</v>
      </c>
      <c r="V233" s="39">
        <v>0</v>
      </c>
      <c r="W233" s="39">
        <v>0</v>
      </c>
      <c r="X233" s="39">
        <v>0</v>
      </c>
      <c r="Y233" s="39">
        <v>0</v>
      </c>
      <c r="Z233" s="39">
        <v>0</v>
      </c>
      <c r="AA233" s="39">
        <v>0</v>
      </c>
      <c r="AB233" s="39">
        <v>0</v>
      </c>
      <c r="AC233" s="39">
        <v>0</v>
      </c>
      <c r="AD233" s="39">
        <v>0</v>
      </c>
      <c r="AE233" s="39">
        <f t="shared" si="736"/>
        <v>1005262</v>
      </c>
      <c r="AF233" s="39">
        <v>0</v>
      </c>
      <c r="AG233" s="39">
        <v>0</v>
      </c>
      <c r="AH233" s="35">
        <f>0+1000000+5262</f>
        <v>1005262</v>
      </c>
      <c r="AI233" s="35"/>
      <c r="AJ233" s="35"/>
      <c r="AK233" s="35">
        <v>0</v>
      </c>
      <c r="AL233" s="35">
        <v>0</v>
      </c>
      <c r="AM233" s="35">
        <v>0</v>
      </c>
      <c r="AN233" s="35">
        <v>0</v>
      </c>
      <c r="AO233" s="35">
        <v>0</v>
      </c>
      <c r="AP233" s="35">
        <v>0</v>
      </c>
      <c r="AQ233" s="35"/>
      <c r="AR233" s="35">
        <v>0</v>
      </c>
      <c r="AS233" s="35">
        <v>0</v>
      </c>
      <c r="AT233" s="35">
        <v>0</v>
      </c>
      <c r="AU233" s="35">
        <v>0</v>
      </c>
      <c r="AV233" s="35">
        <v>0</v>
      </c>
      <c r="AW233" s="35">
        <v>0</v>
      </c>
      <c r="AX233" s="35">
        <v>0</v>
      </c>
      <c r="AY233" s="35">
        <v>0</v>
      </c>
      <c r="AZ233" s="35">
        <v>0</v>
      </c>
      <c r="BA233" s="35">
        <v>0</v>
      </c>
      <c r="BB233" s="39">
        <f t="shared" si="759"/>
        <v>0</v>
      </c>
      <c r="BC233" s="39">
        <f t="shared" ref="BC233" si="764">SUM(BD233:BF233)</f>
        <v>0</v>
      </c>
      <c r="BD233" s="39">
        <v>0</v>
      </c>
      <c r="BE233" s="39">
        <v>0</v>
      </c>
      <c r="BF233" s="39">
        <v>0</v>
      </c>
      <c r="BG233" s="39">
        <f t="shared" ref="BG233" si="765">SUM(BI233:BI233)</f>
        <v>0</v>
      </c>
      <c r="BH233" s="39">
        <v>0</v>
      </c>
      <c r="BI233" s="39">
        <v>0</v>
      </c>
      <c r="BJ233" s="39">
        <v>0</v>
      </c>
      <c r="BK233" s="39">
        <v>0</v>
      </c>
      <c r="BL233" s="39">
        <f t="shared" ref="BL233" si="766">SUM(BM233)</f>
        <v>0</v>
      </c>
      <c r="BM233" s="39">
        <v>0</v>
      </c>
      <c r="BN233" s="39">
        <v>0</v>
      </c>
      <c r="BO233" s="39">
        <f t="shared" si="739"/>
        <v>0</v>
      </c>
      <c r="BP233" s="39">
        <v>0</v>
      </c>
      <c r="BQ233" s="39">
        <v>0</v>
      </c>
      <c r="BR233" s="39">
        <v>0</v>
      </c>
      <c r="BS233" s="39">
        <v>0</v>
      </c>
      <c r="BT233" s="39">
        <v>0</v>
      </c>
      <c r="BU233" s="39">
        <v>0</v>
      </c>
      <c r="BV233" s="39">
        <v>0</v>
      </c>
      <c r="BW233" s="39">
        <v>0</v>
      </c>
      <c r="BX233" s="39">
        <v>0</v>
      </c>
      <c r="BY233" s="39">
        <v>0</v>
      </c>
      <c r="BZ233" s="39">
        <v>0</v>
      </c>
      <c r="CA233" s="39">
        <f t="shared" si="740"/>
        <v>24144580</v>
      </c>
      <c r="CB233" s="39">
        <f t="shared" si="741"/>
        <v>24144580</v>
      </c>
      <c r="CC233" s="39">
        <f t="shared" ref="CC233" si="767">SUM(CD233:CE233)</f>
        <v>24144580</v>
      </c>
      <c r="CD233" s="39">
        <v>0</v>
      </c>
      <c r="CE233" s="39">
        <f>27029069-1000000+4010511-5895000</f>
        <v>24144580</v>
      </c>
      <c r="CF233" s="19">
        <f t="shared" si="742"/>
        <v>0</v>
      </c>
      <c r="CG233" s="39">
        <v>0</v>
      </c>
      <c r="CH233" s="39">
        <v>0</v>
      </c>
      <c r="CI233" s="39">
        <v>0</v>
      </c>
      <c r="CJ233" s="39">
        <v>0</v>
      </c>
      <c r="CK233" s="39">
        <v>0</v>
      </c>
      <c r="CL233" s="39">
        <f t="shared" ref="CL233" si="768">SUM(CM233:CQ233)</f>
        <v>0</v>
      </c>
      <c r="CM233" s="39">
        <v>0</v>
      </c>
      <c r="CN233" s="39">
        <v>0</v>
      </c>
      <c r="CO233" s="39">
        <v>0</v>
      </c>
      <c r="CP233" s="39"/>
      <c r="CQ233" s="39"/>
      <c r="CR233" s="39"/>
      <c r="CS233" s="39"/>
      <c r="CT233" s="39">
        <v>0</v>
      </c>
      <c r="CU233" s="39"/>
      <c r="CV233" s="39"/>
      <c r="CW233" s="39"/>
      <c r="CX233" s="39">
        <f t="shared" ref="CX233" si="769">SUM(CY233)</f>
        <v>0</v>
      </c>
      <c r="CY233" s="39">
        <f t="shared" ref="CY233" si="770">SUM(CZ233:DA233)</f>
        <v>0</v>
      </c>
      <c r="CZ233" s="39">
        <v>0</v>
      </c>
      <c r="DA233" s="41">
        <v>0</v>
      </c>
    </row>
    <row r="234" spans="1:105" ht="31.5" x14ac:dyDescent="0.25">
      <c r="A234" s="74"/>
      <c r="B234" s="42" t="s">
        <v>86</v>
      </c>
      <c r="C234" s="43" t="s">
        <v>487</v>
      </c>
      <c r="D234" s="38">
        <f t="shared" si="756"/>
        <v>1575</v>
      </c>
      <c r="E234" s="39">
        <f t="shared" si="718"/>
        <v>1575</v>
      </c>
      <c r="F234" s="39">
        <f t="shared" si="719"/>
        <v>1575</v>
      </c>
      <c r="G234" s="39">
        <v>0</v>
      </c>
      <c r="H234" s="39">
        <v>0</v>
      </c>
      <c r="I234" s="39">
        <f t="shared" ref="I234" si="771">SUM(J234:O234)</f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0</v>
      </c>
      <c r="O234" s="35">
        <v>0</v>
      </c>
      <c r="P234" s="39">
        <f t="shared" ref="P234" si="772">SUM(Q234:R234)</f>
        <v>0</v>
      </c>
      <c r="Q234" s="39">
        <v>0</v>
      </c>
      <c r="R234" s="39">
        <v>0</v>
      </c>
      <c r="S234" s="39">
        <v>0</v>
      </c>
      <c r="T234" s="39">
        <v>0</v>
      </c>
      <c r="U234" s="39">
        <f t="shared" si="735"/>
        <v>0</v>
      </c>
      <c r="V234" s="39">
        <v>0</v>
      </c>
      <c r="W234" s="39">
        <v>0</v>
      </c>
      <c r="X234" s="39">
        <v>0</v>
      </c>
      <c r="Y234" s="39">
        <v>0</v>
      </c>
      <c r="Z234" s="39">
        <v>0</v>
      </c>
      <c r="AA234" s="39">
        <v>0</v>
      </c>
      <c r="AB234" s="39">
        <v>0</v>
      </c>
      <c r="AC234" s="39">
        <v>0</v>
      </c>
      <c r="AD234" s="40"/>
      <c r="AE234" s="39">
        <f t="shared" si="736"/>
        <v>1575</v>
      </c>
      <c r="AF234" s="40"/>
      <c r="AG234" s="40"/>
      <c r="AH234" s="35"/>
      <c r="AI234" s="35"/>
      <c r="AJ234" s="35">
        <v>1575</v>
      </c>
      <c r="AK234" s="35"/>
      <c r="AL234" s="35">
        <v>0</v>
      </c>
      <c r="AM234" s="35">
        <v>0</v>
      </c>
      <c r="AN234" s="35">
        <v>0</v>
      </c>
      <c r="AO234" s="35">
        <v>0</v>
      </c>
      <c r="AP234" s="35">
        <v>0</v>
      </c>
      <c r="AQ234" s="35"/>
      <c r="AR234" s="35">
        <v>0</v>
      </c>
      <c r="AS234" s="35">
        <v>0</v>
      </c>
      <c r="AT234" s="35">
        <v>0</v>
      </c>
      <c r="AU234" s="35">
        <v>0</v>
      </c>
      <c r="AV234" s="35">
        <v>0</v>
      </c>
      <c r="AW234" s="35">
        <v>0</v>
      </c>
      <c r="AX234" s="35">
        <v>0</v>
      </c>
      <c r="AY234" s="35">
        <v>0</v>
      </c>
      <c r="AZ234" s="35">
        <v>0</v>
      </c>
      <c r="BA234" s="35">
        <v>0</v>
      </c>
      <c r="BB234" s="39">
        <f t="shared" si="759"/>
        <v>0</v>
      </c>
      <c r="BC234" s="39">
        <f t="shared" si="737"/>
        <v>0</v>
      </c>
      <c r="BD234" s="39">
        <v>0</v>
      </c>
      <c r="BE234" s="39">
        <v>0</v>
      </c>
      <c r="BF234" s="39">
        <v>0</v>
      </c>
      <c r="BG234" s="39">
        <f t="shared" si="738"/>
        <v>0</v>
      </c>
      <c r="BH234" s="39">
        <v>0</v>
      </c>
      <c r="BI234" s="39">
        <v>0</v>
      </c>
      <c r="BJ234" s="39">
        <v>0</v>
      </c>
      <c r="BK234" s="39">
        <v>0</v>
      </c>
      <c r="BL234" s="39">
        <f t="shared" si="710"/>
        <v>0</v>
      </c>
      <c r="BM234" s="39">
        <v>0</v>
      </c>
      <c r="BN234" s="39">
        <v>0</v>
      </c>
      <c r="BO234" s="39">
        <f t="shared" si="739"/>
        <v>0</v>
      </c>
      <c r="BP234" s="39">
        <v>0</v>
      </c>
      <c r="BQ234" s="39">
        <v>0</v>
      </c>
      <c r="BR234" s="39">
        <v>0</v>
      </c>
      <c r="BS234" s="39">
        <v>0</v>
      </c>
      <c r="BT234" s="39">
        <v>0</v>
      </c>
      <c r="BU234" s="39">
        <v>0</v>
      </c>
      <c r="BV234" s="39">
        <v>0</v>
      </c>
      <c r="BW234" s="39">
        <v>0</v>
      </c>
      <c r="BX234" s="39">
        <v>0</v>
      </c>
      <c r="BY234" s="39">
        <v>0</v>
      </c>
      <c r="BZ234" s="39">
        <v>0</v>
      </c>
      <c r="CA234" s="39">
        <f t="shared" si="740"/>
        <v>0</v>
      </c>
      <c r="CB234" s="39">
        <f t="shared" si="741"/>
        <v>0</v>
      </c>
      <c r="CC234" s="39">
        <f t="shared" ref="CC234" si="773">SUM(CD234:CE234)</f>
        <v>0</v>
      </c>
      <c r="CD234" s="39">
        <v>0</v>
      </c>
      <c r="CE234" s="39">
        <v>0</v>
      </c>
      <c r="CF234" s="19">
        <f t="shared" si="742"/>
        <v>0</v>
      </c>
      <c r="CG234" s="39">
        <v>0</v>
      </c>
      <c r="CH234" s="39">
        <v>0</v>
      </c>
      <c r="CI234" s="39">
        <v>0</v>
      </c>
      <c r="CJ234" s="39">
        <v>0</v>
      </c>
      <c r="CK234" s="39">
        <v>0</v>
      </c>
      <c r="CL234" s="39">
        <f t="shared" si="743"/>
        <v>0</v>
      </c>
      <c r="CM234" s="39">
        <v>0</v>
      </c>
      <c r="CN234" s="39">
        <v>0</v>
      </c>
      <c r="CO234" s="39">
        <v>0</v>
      </c>
      <c r="CP234" s="39"/>
      <c r="CQ234" s="39"/>
      <c r="CR234" s="39"/>
      <c r="CS234" s="39"/>
      <c r="CT234" s="39">
        <v>0</v>
      </c>
      <c r="CU234" s="39"/>
      <c r="CV234" s="39"/>
      <c r="CW234" s="39"/>
      <c r="CX234" s="39">
        <f t="shared" ref="CX234" si="774">SUM(CY234)</f>
        <v>0</v>
      </c>
      <c r="CY234" s="39">
        <f t="shared" si="713"/>
        <v>0</v>
      </c>
      <c r="CZ234" s="39">
        <v>0</v>
      </c>
      <c r="DA234" s="41">
        <v>0</v>
      </c>
    </row>
    <row r="235" spans="1:105" ht="31.5" x14ac:dyDescent="0.25">
      <c r="A235" s="74"/>
      <c r="B235" s="36" t="s">
        <v>86</v>
      </c>
      <c r="C235" s="37" t="s">
        <v>488</v>
      </c>
      <c r="D235" s="38">
        <f t="shared" si="756"/>
        <v>1000000</v>
      </c>
      <c r="E235" s="39">
        <f t="shared" si="718"/>
        <v>1000000</v>
      </c>
      <c r="F235" s="39">
        <f t="shared" si="719"/>
        <v>1000000</v>
      </c>
      <c r="G235" s="39"/>
      <c r="H235" s="39"/>
      <c r="I235" s="39">
        <f t="shared" si="707"/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0</v>
      </c>
      <c r="O235" s="35">
        <v>0</v>
      </c>
      <c r="P235" s="39">
        <f t="shared" si="708"/>
        <v>0</v>
      </c>
      <c r="Q235" s="39"/>
      <c r="R235" s="39"/>
      <c r="S235" s="39">
        <v>0</v>
      </c>
      <c r="T235" s="39"/>
      <c r="U235" s="39">
        <f t="shared" si="735"/>
        <v>0</v>
      </c>
      <c r="V235" s="39"/>
      <c r="W235" s="39"/>
      <c r="X235" s="39"/>
      <c r="Y235" s="39"/>
      <c r="Z235" s="39"/>
      <c r="AA235" s="39">
        <v>0</v>
      </c>
      <c r="AB235" s="39">
        <v>0</v>
      </c>
      <c r="AC235" s="39"/>
      <c r="AD235" s="39"/>
      <c r="AE235" s="39">
        <f t="shared" si="736"/>
        <v>1000000</v>
      </c>
      <c r="AF235" s="39"/>
      <c r="AG235" s="39"/>
      <c r="AH235" s="35"/>
      <c r="AI235" s="35"/>
      <c r="AJ235" s="35"/>
      <c r="AK235" s="35">
        <v>1000000</v>
      </c>
      <c r="AL235" s="35">
        <v>0</v>
      </c>
      <c r="AM235" s="35">
        <v>0</v>
      </c>
      <c r="AN235" s="35">
        <v>0</v>
      </c>
      <c r="AO235" s="35">
        <v>0</v>
      </c>
      <c r="AP235" s="35">
        <v>0</v>
      </c>
      <c r="AQ235" s="35"/>
      <c r="AR235" s="35">
        <v>0</v>
      </c>
      <c r="AS235" s="35">
        <v>0</v>
      </c>
      <c r="AT235" s="35">
        <v>0</v>
      </c>
      <c r="AU235" s="35">
        <v>0</v>
      </c>
      <c r="AV235" s="35">
        <v>0</v>
      </c>
      <c r="AW235" s="35">
        <v>0</v>
      </c>
      <c r="AX235" s="35">
        <v>0</v>
      </c>
      <c r="AY235" s="35">
        <v>0</v>
      </c>
      <c r="AZ235" s="35">
        <v>0</v>
      </c>
      <c r="BA235" s="35">
        <v>0</v>
      </c>
      <c r="BB235" s="39">
        <f t="shared" si="759"/>
        <v>0</v>
      </c>
      <c r="BC235" s="39">
        <f t="shared" si="737"/>
        <v>0</v>
      </c>
      <c r="BD235" s="39">
        <v>0</v>
      </c>
      <c r="BE235" s="39">
        <v>0</v>
      </c>
      <c r="BF235" s="39">
        <v>0</v>
      </c>
      <c r="BG235" s="39">
        <f t="shared" si="738"/>
        <v>0</v>
      </c>
      <c r="BH235" s="39">
        <v>0</v>
      </c>
      <c r="BI235" s="39">
        <v>0</v>
      </c>
      <c r="BJ235" s="39">
        <v>0</v>
      </c>
      <c r="BK235" s="39">
        <v>0</v>
      </c>
      <c r="BL235" s="39">
        <f t="shared" si="710"/>
        <v>0</v>
      </c>
      <c r="BM235" s="39">
        <v>0</v>
      </c>
      <c r="BN235" s="39">
        <v>0</v>
      </c>
      <c r="BO235" s="39">
        <f t="shared" si="739"/>
        <v>0</v>
      </c>
      <c r="BP235" s="39">
        <v>0</v>
      </c>
      <c r="BQ235" s="39">
        <v>0</v>
      </c>
      <c r="BR235" s="39">
        <v>0</v>
      </c>
      <c r="BS235" s="39">
        <v>0</v>
      </c>
      <c r="BT235" s="39">
        <v>0</v>
      </c>
      <c r="BU235" s="39">
        <v>0</v>
      </c>
      <c r="BV235" s="39">
        <v>0</v>
      </c>
      <c r="BW235" s="39">
        <v>0</v>
      </c>
      <c r="BX235" s="39">
        <v>0</v>
      </c>
      <c r="BY235" s="39"/>
      <c r="BZ235" s="39">
        <v>0</v>
      </c>
      <c r="CA235" s="39">
        <f t="shared" si="740"/>
        <v>0</v>
      </c>
      <c r="CB235" s="39">
        <f t="shared" si="741"/>
        <v>0</v>
      </c>
      <c r="CC235" s="39">
        <f t="shared" si="711"/>
        <v>0</v>
      </c>
      <c r="CD235" s="39">
        <v>0</v>
      </c>
      <c r="CE235" s="39"/>
      <c r="CF235" s="19">
        <f t="shared" si="742"/>
        <v>0</v>
      </c>
      <c r="CG235" s="39">
        <v>0</v>
      </c>
      <c r="CH235" s="39">
        <v>0</v>
      </c>
      <c r="CI235" s="39">
        <v>0</v>
      </c>
      <c r="CJ235" s="39">
        <v>0</v>
      </c>
      <c r="CK235" s="39">
        <v>0</v>
      </c>
      <c r="CL235" s="39">
        <f t="shared" si="743"/>
        <v>0</v>
      </c>
      <c r="CM235" s="39">
        <v>0</v>
      </c>
      <c r="CN235" s="39">
        <v>0</v>
      </c>
      <c r="CO235" s="39"/>
      <c r="CP235" s="39"/>
      <c r="CQ235" s="39"/>
      <c r="CR235" s="39"/>
      <c r="CS235" s="39"/>
      <c r="CT235" s="39">
        <v>0</v>
      </c>
      <c r="CU235" s="39"/>
      <c r="CV235" s="39"/>
      <c r="CW235" s="39"/>
      <c r="CX235" s="39">
        <f t="shared" ref="CX235" si="775">SUM(CY235)</f>
        <v>0</v>
      </c>
      <c r="CY235" s="39">
        <f t="shared" si="713"/>
        <v>0</v>
      </c>
      <c r="CZ235" s="39">
        <v>0</v>
      </c>
      <c r="DA235" s="41">
        <v>0</v>
      </c>
    </row>
    <row r="236" spans="1:105" ht="47.25" x14ac:dyDescent="0.25">
      <c r="A236" s="74"/>
      <c r="B236" s="42">
        <v>147</v>
      </c>
      <c r="C236" s="43" t="s">
        <v>624</v>
      </c>
      <c r="D236" s="38">
        <f t="shared" si="756"/>
        <v>821924</v>
      </c>
      <c r="E236" s="39">
        <f t="shared" si="718"/>
        <v>821924</v>
      </c>
      <c r="F236" s="39">
        <f t="shared" si="719"/>
        <v>821924</v>
      </c>
      <c r="G236" s="39">
        <v>0</v>
      </c>
      <c r="H236" s="39">
        <v>0</v>
      </c>
      <c r="I236" s="39">
        <f t="shared" ref="I236" si="776">SUM(J236:O236)</f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0</v>
      </c>
      <c r="O236" s="35"/>
      <c r="P236" s="39">
        <f t="shared" ref="P236" si="777">SUM(Q236:R236)</f>
        <v>0</v>
      </c>
      <c r="Q236" s="39">
        <v>0</v>
      </c>
      <c r="R236" s="39">
        <v>0</v>
      </c>
      <c r="S236" s="39">
        <v>0</v>
      </c>
      <c r="T236" s="39">
        <v>0</v>
      </c>
      <c r="U236" s="39">
        <f t="shared" ref="U236" si="778">SUM(V236:AC236)</f>
        <v>0</v>
      </c>
      <c r="V236" s="39">
        <v>0</v>
      </c>
      <c r="W236" s="39">
        <v>0</v>
      </c>
      <c r="X236" s="39">
        <v>0</v>
      </c>
      <c r="Y236" s="39">
        <v>0</v>
      </c>
      <c r="Z236" s="39">
        <v>0</v>
      </c>
      <c r="AA236" s="39">
        <v>0</v>
      </c>
      <c r="AB236" s="39">
        <v>0</v>
      </c>
      <c r="AC236" s="39">
        <v>0</v>
      </c>
      <c r="AD236" s="40"/>
      <c r="AE236" s="39">
        <f t="shared" si="736"/>
        <v>821924</v>
      </c>
      <c r="AF236" s="40"/>
      <c r="AG236" s="40"/>
      <c r="AH236" s="35">
        <v>0</v>
      </c>
      <c r="AI236" s="35">
        <v>0</v>
      </c>
      <c r="AJ236" s="35">
        <v>0</v>
      </c>
      <c r="AK236" s="35">
        <v>0</v>
      </c>
      <c r="AL236" s="35">
        <v>0</v>
      </c>
      <c r="AM236" s="35">
        <v>0</v>
      </c>
      <c r="AN236" s="35">
        <v>0</v>
      </c>
      <c r="AO236" s="35">
        <v>0</v>
      </c>
      <c r="AP236" s="35">
        <v>0</v>
      </c>
      <c r="AQ236" s="35"/>
      <c r="AR236" s="35">
        <v>0</v>
      </c>
      <c r="AS236" s="35">
        <v>0</v>
      </c>
      <c r="AT236" s="35">
        <v>0</v>
      </c>
      <c r="AU236" s="35">
        <v>0</v>
      </c>
      <c r="AV236" s="35">
        <v>0</v>
      </c>
      <c r="AW236" s="35">
        <v>0</v>
      </c>
      <c r="AX236" s="35">
        <v>0</v>
      </c>
      <c r="AY236" s="35">
        <v>0</v>
      </c>
      <c r="AZ236" s="35">
        <v>0</v>
      </c>
      <c r="BA236" s="35">
        <v>821924</v>
      </c>
      <c r="BB236" s="39">
        <f t="shared" si="759"/>
        <v>0</v>
      </c>
      <c r="BC236" s="39">
        <f t="shared" ref="BC236" si="779">SUM(BD236:BF236)</f>
        <v>0</v>
      </c>
      <c r="BD236" s="39">
        <v>0</v>
      </c>
      <c r="BE236" s="39">
        <v>0</v>
      </c>
      <c r="BF236" s="39">
        <v>0</v>
      </c>
      <c r="BG236" s="39">
        <f t="shared" ref="BG236" si="780">SUM(BI236:BI236)</f>
        <v>0</v>
      </c>
      <c r="BH236" s="39">
        <v>0</v>
      </c>
      <c r="BI236" s="39">
        <v>0</v>
      </c>
      <c r="BJ236" s="39">
        <v>0</v>
      </c>
      <c r="BK236" s="39">
        <v>0</v>
      </c>
      <c r="BL236" s="39">
        <f t="shared" ref="BL236" si="781">SUM(BM236)</f>
        <v>0</v>
      </c>
      <c r="BM236" s="39">
        <v>0</v>
      </c>
      <c r="BN236" s="39">
        <v>0</v>
      </c>
      <c r="BO236" s="39">
        <f>SUM(BP236:BZ236)</f>
        <v>0</v>
      </c>
      <c r="BP236" s="39">
        <v>0</v>
      </c>
      <c r="BQ236" s="39">
        <v>0</v>
      </c>
      <c r="BR236" s="39">
        <v>0</v>
      </c>
      <c r="BS236" s="39">
        <v>0</v>
      </c>
      <c r="BT236" s="39">
        <v>0</v>
      </c>
      <c r="BU236" s="39">
        <v>0</v>
      </c>
      <c r="BV236" s="39">
        <v>0</v>
      </c>
      <c r="BW236" s="39">
        <v>0</v>
      </c>
      <c r="BX236" s="39">
        <v>0</v>
      </c>
      <c r="BY236" s="39">
        <v>0</v>
      </c>
      <c r="BZ236" s="39">
        <v>0</v>
      </c>
      <c r="CA236" s="39">
        <f t="shared" si="740"/>
        <v>0</v>
      </c>
      <c r="CB236" s="39">
        <f t="shared" si="741"/>
        <v>0</v>
      </c>
      <c r="CC236" s="39">
        <f t="shared" ref="CC236" si="782">SUM(CD236:CE236)</f>
        <v>0</v>
      </c>
      <c r="CD236" s="39">
        <v>0</v>
      </c>
      <c r="CE236" s="39">
        <v>0</v>
      </c>
      <c r="CF236" s="19">
        <f t="shared" si="742"/>
        <v>0</v>
      </c>
      <c r="CG236" s="39">
        <v>0</v>
      </c>
      <c r="CH236" s="39">
        <v>0</v>
      </c>
      <c r="CI236" s="39">
        <v>0</v>
      </c>
      <c r="CJ236" s="39">
        <v>0</v>
      </c>
      <c r="CK236" s="39">
        <v>0</v>
      </c>
      <c r="CL236" s="39">
        <f t="shared" ref="CL236" si="783">SUM(CM236:CQ236)</f>
        <v>0</v>
      </c>
      <c r="CM236" s="39">
        <v>0</v>
      </c>
      <c r="CN236" s="39">
        <v>0</v>
      </c>
      <c r="CO236" s="39">
        <v>0</v>
      </c>
      <c r="CP236" s="39"/>
      <c r="CQ236" s="39"/>
      <c r="CR236" s="39"/>
      <c r="CS236" s="39"/>
      <c r="CT236" s="39">
        <v>0</v>
      </c>
      <c r="CU236" s="39"/>
      <c r="CV236" s="39"/>
      <c r="CW236" s="39"/>
      <c r="CX236" s="39">
        <f t="shared" ref="CX236" si="784">SUM(CY236)</f>
        <v>0</v>
      </c>
      <c r="CY236" s="39">
        <f t="shared" ref="CY236" si="785">SUM(CZ236:DA236)</f>
        <v>0</v>
      </c>
      <c r="CZ236" s="39">
        <v>0</v>
      </c>
      <c r="DA236" s="41">
        <v>0</v>
      </c>
    </row>
    <row r="237" spans="1:105" s="84" customFormat="1" ht="31.5" x14ac:dyDescent="0.25">
      <c r="A237" s="74" t="s">
        <v>1</v>
      </c>
      <c r="B237" s="36" t="s">
        <v>103</v>
      </c>
      <c r="C237" s="37" t="s">
        <v>371</v>
      </c>
      <c r="D237" s="38">
        <f t="shared" si="756"/>
        <v>12174992</v>
      </c>
      <c r="E237" s="39">
        <f t="shared" si="718"/>
        <v>12174992</v>
      </c>
      <c r="F237" s="39">
        <f t="shared" si="719"/>
        <v>0</v>
      </c>
      <c r="G237" s="39">
        <v>0</v>
      </c>
      <c r="H237" s="39">
        <v>0</v>
      </c>
      <c r="I237" s="39">
        <f t="shared" ref="I237:I238" si="786">SUM(J237:O237)</f>
        <v>0</v>
      </c>
      <c r="J237" s="39">
        <v>0</v>
      </c>
      <c r="K237" s="39">
        <v>0</v>
      </c>
      <c r="L237" s="39">
        <v>0</v>
      </c>
      <c r="M237" s="39">
        <v>0</v>
      </c>
      <c r="N237" s="39">
        <v>0</v>
      </c>
      <c r="O237" s="39">
        <f>32507-32507</f>
        <v>0</v>
      </c>
      <c r="P237" s="39">
        <f t="shared" si="708"/>
        <v>0</v>
      </c>
      <c r="Q237" s="39">
        <v>0</v>
      </c>
      <c r="R237" s="39">
        <v>0</v>
      </c>
      <c r="S237" s="39">
        <v>0</v>
      </c>
      <c r="T237" s="39">
        <v>0</v>
      </c>
      <c r="U237" s="39">
        <f t="shared" si="735"/>
        <v>0</v>
      </c>
      <c r="V237" s="39">
        <v>0</v>
      </c>
      <c r="W237" s="39">
        <v>0</v>
      </c>
      <c r="X237" s="39">
        <v>0</v>
      </c>
      <c r="Y237" s="39">
        <v>0</v>
      </c>
      <c r="Z237" s="39">
        <v>0</v>
      </c>
      <c r="AA237" s="39">
        <v>0</v>
      </c>
      <c r="AB237" s="39">
        <v>0</v>
      </c>
      <c r="AC237" s="39">
        <v>0</v>
      </c>
      <c r="AD237" s="39">
        <v>0</v>
      </c>
      <c r="AE237" s="39">
        <f t="shared" si="736"/>
        <v>0</v>
      </c>
      <c r="AF237" s="39">
        <v>0</v>
      </c>
      <c r="AG237" s="39">
        <v>0</v>
      </c>
      <c r="AH237" s="39">
        <v>0</v>
      </c>
      <c r="AI237" s="39">
        <v>0</v>
      </c>
      <c r="AJ237" s="40"/>
      <c r="AK237" s="40"/>
      <c r="AL237" s="39">
        <v>0</v>
      </c>
      <c r="AM237" s="39">
        <v>0</v>
      </c>
      <c r="AN237" s="39">
        <v>0</v>
      </c>
      <c r="AO237" s="39">
        <v>0</v>
      </c>
      <c r="AP237" s="39">
        <v>0</v>
      </c>
      <c r="AQ237" s="39"/>
      <c r="AR237" s="39">
        <v>0</v>
      </c>
      <c r="AS237" s="39">
        <v>0</v>
      </c>
      <c r="AT237" s="39">
        <v>0</v>
      </c>
      <c r="AU237" s="39">
        <v>0</v>
      </c>
      <c r="AV237" s="39">
        <v>0</v>
      </c>
      <c r="AW237" s="39">
        <v>0</v>
      </c>
      <c r="AX237" s="39">
        <v>0</v>
      </c>
      <c r="AY237" s="39">
        <v>0</v>
      </c>
      <c r="AZ237" s="39">
        <v>0</v>
      </c>
      <c r="BA237" s="40">
        <v>0</v>
      </c>
      <c r="BB237" s="39">
        <f>SUM(BC237+BG237+BJ237+BL237+BO237)</f>
        <v>12174992</v>
      </c>
      <c r="BC237" s="39">
        <f t="shared" si="737"/>
        <v>0</v>
      </c>
      <c r="BD237" s="39">
        <v>0</v>
      </c>
      <c r="BE237" s="39">
        <v>0</v>
      </c>
      <c r="BF237" s="39">
        <v>0</v>
      </c>
      <c r="BG237" s="39">
        <f t="shared" si="738"/>
        <v>0</v>
      </c>
      <c r="BH237" s="39">
        <v>0</v>
      </c>
      <c r="BI237" s="39">
        <v>0</v>
      </c>
      <c r="BJ237" s="39">
        <f>499587+12470080-794675</f>
        <v>12174992</v>
      </c>
      <c r="BK237" s="39">
        <f>499587+12470080-794675</f>
        <v>12174992</v>
      </c>
      <c r="BL237" s="39">
        <f t="shared" si="710"/>
        <v>0</v>
      </c>
      <c r="BM237" s="39">
        <v>0</v>
      </c>
      <c r="BN237" s="39">
        <v>0</v>
      </c>
      <c r="BO237" s="39">
        <f t="shared" si="739"/>
        <v>0</v>
      </c>
      <c r="BP237" s="39">
        <v>0</v>
      </c>
      <c r="BQ237" s="39">
        <v>0</v>
      </c>
      <c r="BR237" s="39">
        <v>0</v>
      </c>
      <c r="BS237" s="39">
        <v>0</v>
      </c>
      <c r="BT237" s="39">
        <v>0</v>
      </c>
      <c r="BU237" s="39">
        <v>0</v>
      </c>
      <c r="BV237" s="39">
        <v>0</v>
      </c>
      <c r="BW237" s="39">
        <v>0</v>
      </c>
      <c r="BX237" s="39">
        <v>0</v>
      </c>
      <c r="BY237" s="39">
        <v>0</v>
      </c>
      <c r="BZ237" s="39">
        <v>0</v>
      </c>
      <c r="CA237" s="39">
        <f t="shared" si="740"/>
        <v>0</v>
      </c>
      <c r="CB237" s="39">
        <f t="shared" si="741"/>
        <v>0</v>
      </c>
      <c r="CC237" s="39">
        <f t="shared" ref="CC237:CC238" si="787">SUM(CD237:CE237)</f>
        <v>0</v>
      </c>
      <c r="CD237" s="39">
        <v>0</v>
      </c>
      <c r="CE237" s="39">
        <v>0</v>
      </c>
      <c r="CF237" s="39">
        <f t="shared" si="742"/>
        <v>0</v>
      </c>
      <c r="CG237" s="39">
        <v>0</v>
      </c>
      <c r="CH237" s="39">
        <v>0</v>
      </c>
      <c r="CI237" s="39">
        <v>0</v>
      </c>
      <c r="CJ237" s="39">
        <v>0</v>
      </c>
      <c r="CK237" s="39">
        <v>0</v>
      </c>
      <c r="CL237" s="39">
        <f t="shared" si="743"/>
        <v>0</v>
      </c>
      <c r="CM237" s="39">
        <v>0</v>
      </c>
      <c r="CN237" s="39">
        <v>0</v>
      </c>
      <c r="CO237" s="39">
        <v>0</v>
      </c>
      <c r="CP237" s="39"/>
      <c r="CQ237" s="39"/>
      <c r="CR237" s="39"/>
      <c r="CS237" s="39"/>
      <c r="CT237" s="39">
        <v>0</v>
      </c>
      <c r="CU237" s="39"/>
      <c r="CV237" s="39"/>
      <c r="CW237" s="39"/>
      <c r="CX237" s="39">
        <f t="shared" si="712"/>
        <v>0</v>
      </c>
      <c r="CY237" s="39">
        <f t="shared" si="713"/>
        <v>0</v>
      </c>
      <c r="CZ237" s="39">
        <v>0</v>
      </c>
      <c r="DA237" s="41">
        <v>0</v>
      </c>
    </row>
    <row r="238" spans="1:105" ht="47.25" x14ac:dyDescent="0.25">
      <c r="A238" s="72" t="s">
        <v>1</v>
      </c>
      <c r="B238" s="44" t="s">
        <v>103</v>
      </c>
      <c r="C238" s="45" t="s">
        <v>318</v>
      </c>
      <c r="D238" s="18">
        <f t="shared" si="756"/>
        <v>350000</v>
      </c>
      <c r="E238" s="19">
        <f t="shared" si="718"/>
        <v>0</v>
      </c>
      <c r="F238" s="19">
        <f t="shared" si="719"/>
        <v>0</v>
      </c>
      <c r="G238" s="19">
        <v>0</v>
      </c>
      <c r="H238" s="19">
        <v>0</v>
      </c>
      <c r="I238" s="19">
        <f t="shared" si="786"/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9">
        <f t="shared" si="708"/>
        <v>0</v>
      </c>
      <c r="Q238" s="19">
        <v>0</v>
      </c>
      <c r="R238" s="19">
        <v>0</v>
      </c>
      <c r="S238" s="19">
        <v>0</v>
      </c>
      <c r="T238" s="19">
        <v>0</v>
      </c>
      <c r="U238" s="19">
        <f t="shared" si="735"/>
        <v>0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0</v>
      </c>
      <c r="AB238" s="19">
        <v>0</v>
      </c>
      <c r="AC238" s="19">
        <v>0</v>
      </c>
      <c r="AD238" s="19">
        <v>0</v>
      </c>
      <c r="AE238" s="19">
        <f t="shared" si="736"/>
        <v>0</v>
      </c>
      <c r="AF238" s="19">
        <v>0</v>
      </c>
      <c r="AG238" s="19">
        <v>0</v>
      </c>
      <c r="AH238" s="19">
        <v>0</v>
      </c>
      <c r="AI238" s="19">
        <v>0</v>
      </c>
      <c r="AJ238" s="24"/>
      <c r="AK238" s="24"/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/>
      <c r="AR238" s="19">
        <v>0</v>
      </c>
      <c r="AS238" s="19">
        <v>0</v>
      </c>
      <c r="AT238" s="19">
        <v>0</v>
      </c>
      <c r="AU238" s="19">
        <v>0</v>
      </c>
      <c r="AV238" s="19">
        <v>0</v>
      </c>
      <c r="AW238" s="19">
        <v>0</v>
      </c>
      <c r="AX238" s="19">
        <v>0</v>
      </c>
      <c r="AY238" s="19">
        <v>0</v>
      </c>
      <c r="AZ238" s="19">
        <v>0</v>
      </c>
      <c r="BA238" s="19">
        <v>0</v>
      </c>
      <c r="BB238" s="19">
        <f>SUM(BC238+BG238+BJ238+BL238+BO238)</f>
        <v>0</v>
      </c>
      <c r="BC238" s="19">
        <f t="shared" si="737"/>
        <v>0</v>
      </c>
      <c r="BD238" s="19">
        <v>0</v>
      </c>
      <c r="BE238" s="19">
        <v>0</v>
      </c>
      <c r="BF238" s="19">
        <v>0</v>
      </c>
      <c r="BG238" s="19">
        <f t="shared" si="738"/>
        <v>0</v>
      </c>
      <c r="BH238" s="19">
        <v>0</v>
      </c>
      <c r="BI238" s="19">
        <v>0</v>
      </c>
      <c r="BJ238" s="19">
        <v>0</v>
      </c>
      <c r="BK238" s="19">
        <v>0</v>
      </c>
      <c r="BL238" s="19">
        <f t="shared" si="710"/>
        <v>0</v>
      </c>
      <c r="BM238" s="19">
        <v>0</v>
      </c>
      <c r="BN238" s="19">
        <v>0</v>
      </c>
      <c r="BO238" s="19">
        <f t="shared" si="739"/>
        <v>0</v>
      </c>
      <c r="BP238" s="19">
        <v>0</v>
      </c>
      <c r="BQ238" s="19">
        <v>0</v>
      </c>
      <c r="BR238" s="19">
        <v>0</v>
      </c>
      <c r="BS238" s="19">
        <v>0</v>
      </c>
      <c r="BT238" s="19">
        <v>0</v>
      </c>
      <c r="BU238" s="19">
        <v>0</v>
      </c>
      <c r="BV238" s="19">
        <v>0</v>
      </c>
      <c r="BW238" s="19">
        <v>0</v>
      </c>
      <c r="BX238" s="19">
        <v>0</v>
      </c>
      <c r="BY238" s="19">
        <v>0</v>
      </c>
      <c r="BZ238" s="19">
        <v>0</v>
      </c>
      <c r="CA238" s="19">
        <f t="shared" si="740"/>
        <v>350000</v>
      </c>
      <c r="CB238" s="19">
        <f t="shared" si="741"/>
        <v>350000</v>
      </c>
      <c r="CC238" s="19">
        <f t="shared" si="787"/>
        <v>350000</v>
      </c>
      <c r="CD238" s="19">
        <v>0</v>
      </c>
      <c r="CE238" s="19">
        <f>400000-50000</f>
        <v>350000</v>
      </c>
      <c r="CF238" s="19">
        <f t="shared" si="742"/>
        <v>0</v>
      </c>
      <c r="CG238" s="19">
        <v>0</v>
      </c>
      <c r="CH238" s="19">
        <v>0</v>
      </c>
      <c r="CI238" s="19">
        <v>0</v>
      </c>
      <c r="CJ238" s="19">
        <v>0</v>
      </c>
      <c r="CK238" s="19">
        <v>0</v>
      </c>
      <c r="CL238" s="19">
        <f t="shared" si="743"/>
        <v>0</v>
      </c>
      <c r="CM238" s="19">
        <v>0</v>
      </c>
      <c r="CN238" s="19">
        <v>0</v>
      </c>
      <c r="CO238" s="19">
        <v>0</v>
      </c>
      <c r="CP238" s="19"/>
      <c r="CQ238" s="19"/>
      <c r="CR238" s="19"/>
      <c r="CS238" s="19"/>
      <c r="CT238" s="19">
        <v>0</v>
      </c>
      <c r="CU238" s="19"/>
      <c r="CV238" s="19"/>
      <c r="CW238" s="19"/>
      <c r="CX238" s="19">
        <f t="shared" si="712"/>
        <v>0</v>
      </c>
      <c r="CY238" s="19">
        <f t="shared" si="713"/>
        <v>0</v>
      </c>
      <c r="CZ238" s="19">
        <v>0</v>
      </c>
      <c r="DA238" s="20">
        <v>0</v>
      </c>
    </row>
    <row r="239" spans="1:105" s="84" customFormat="1" ht="47.25" x14ac:dyDescent="0.25">
      <c r="A239" s="74"/>
      <c r="B239" s="42" t="s">
        <v>104</v>
      </c>
      <c r="C239" s="43" t="s">
        <v>489</v>
      </c>
      <c r="D239" s="38">
        <f t="shared" si="756"/>
        <v>1697134</v>
      </c>
      <c r="E239" s="39">
        <f t="shared" si="718"/>
        <v>1697134</v>
      </c>
      <c r="F239" s="39">
        <f t="shared" si="719"/>
        <v>1697134</v>
      </c>
      <c r="G239" s="39">
        <v>0</v>
      </c>
      <c r="H239" s="39">
        <v>0</v>
      </c>
      <c r="I239" s="39">
        <f t="shared" ref="I239" si="788">SUM(J239:O239)</f>
        <v>0</v>
      </c>
      <c r="J239" s="39">
        <v>0</v>
      </c>
      <c r="K239" s="39">
        <v>0</v>
      </c>
      <c r="L239" s="39">
        <v>0</v>
      </c>
      <c r="M239" s="39">
        <v>0</v>
      </c>
      <c r="N239" s="39">
        <v>0</v>
      </c>
      <c r="O239" s="39">
        <v>0</v>
      </c>
      <c r="P239" s="39">
        <f t="shared" ref="P239" si="789">SUM(Q239:R239)</f>
        <v>0</v>
      </c>
      <c r="Q239" s="39">
        <v>0</v>
      </c>
      <c r="R239" s="39">
        <v>0</v>
      </c>
      <c r="S239" s="39">
        <v>0</v>
      </c>
      <c r="T239" s="39">
        <v>0</v>
      </c>
      <c r="U239" s="39">
        <f t="shared" si="735"/>
        <v>0</v>
      </c>
      <c r="V239" s="39">
        <v>0</v>
      </c>
      <c r="W239" s="39">
        <v>0</v>
      </c>
      <c r="X239" s="39">
        <v>0</v>
      </c>
      <c r="Y239" s="39">
        <v>0</v>
      </c>
      <c r="Z239" s="39">
        <v>0</v>
      </c>
      <c r="AA239" s="39">
        <v>0</v>
      </c>
      <c r="AB239" s="39">
        <v>0</v>
      </c>
      <c r="AC239" s="39">
        <v>0</v>
      </c>
      <c r="AD239" s="40"/>
      <c r="AE239" s="39">
        <f t="shared" si="736"/>
        <v>1697134</v>
      </c>
      <c r="AF239" s="40"/>
      <c r="AG239" s="40"/>
      <c r="AH239" s="39">
        <v>0</v>
      </c>
      <c r="AI239" s="39">
        <v>0</v>
      </c>
      <c r="AJ239" s="39">
        <v>0</v>
      </c>
      <c r="AK239" s="39">
        <v>0</v>
      </c>
      <c r="AL239" s="39">
        <v>0</v>
      </c>
      <c r="AM239" s="39">
        <v>0</v>
      </c>
      <c r="AN239" s="39">
        <v>0</v>
      </c>
      <c r="AO239" s="39">
        <v>0</v>
      </c>
      <c r="AP239" s="39">
        <v>0</v>
      </c>
      <c r="AQ239" s="39"/>
      <c r="AR239" s="39">
        <v>0</v>
      </c>
      <c r="AS239" s="39">
        <v>0</v>
      </c>
      <c r="AT239" s="39">
        <v>0</v>
      </c>
      <c r="AU239" s="39">
        <v>0</v>
      </c>
      <c r="AV239" s="39">
        <v>0</v>
      </c>
      <c r="AW239" s="39">
        <v>0</v>
      </c>
      <c r="AX239" s="39">
        <v>0</v>
      </c>
      <c r="AY239" s="39">
        <v>0</v>
      </c>
      <c r="AZ239" s="39">
        <v>0</v>
      </c>
      <c r="BA239" s="35">
        <f>2500000-802866</f>
        <v>1697134</v>
      </c>
      <c r="BB239" s="39">
        <f>SUM(BC239+BG239+BJ239+BL239+BO239)</f>
        <v>0</v>
      </c>
      <c r="BC239" s="39">
        <f t="shared" si="737"/>
        <v>0</v>
      </c>
      <c r="BD239" s="39">
        <v>0</v>
      </c>
      <c r="BE239" s="39">
        <v>0</v>
      </c>
      <c r="BF239" s="39">
        <v>0</v>
      </c>
      <c r="BG239" s="39">
        <f t="shared" si="738"/>
        <v>0</v>
      </c>
      <c r="BH239" s="39">
        <v>0</v>
      </c>
      <c r="BI239" s="39">
        <v>0</v>
      </c>
      <c r="BJ239" s="39">
        <v>0</v>
      </c>
      <c r="BK239" s="39">
        <v>0</v>
      </c>
      <c r="BL239" s="39">
        <f t="shared" si="710"/>
        <v>0</v>
      </c>
      <c r="BM239" s="39">
        <v>0</v>
      </c>
      <c r="BN239" s="39">
        <v>0</v>
      </c>
      <c r="BO239" s="39">
        <f t="shared" si="739"/>
        <v>0</v>
      </c>
      <c r="BP239" s="39">
        <v>0</v>
      </c>
      <c r="BQ239" s="39">
        <v>0</v>
      </c>
      <c r="BR239" s="39">
        <v>0</v>
      </c>
      <c r="BS239" s="39">
        <v>0</v>
      </c>
      <c r="BT239" s="39">
        <v>0</v>
      </c>
      <c r="BU239" s="39">
        <v>0</v>
      </c>
      <c r="BV239" s="39">
        <v>0</v>
      </c>
      <c r="BW239" s="39">
        <v>0</v>
      </c>
      <c r="BX239" s="39">
        <v>0</v>
      </c>
      <c r="BY239" s="39">
        <v>0</v>
      </c>
      <c r="BZ239" s="39">
        <v>0</v>
      </c>
      <c r="CA239" s="39">
        <f t="shared" si="740"/>
        <v>0</v>
      </c>
      <c r="CB239" s="39">
        <f t="shared" si="741"/>
        <v>0</v>
      </c>
      <c r="CC239" s="39">
        <f t="shared" ref="CC239" si="790">SUM(CD239:CE239)</f>
        <v>0</v>
      </c>
      <c r="CD239" s="39">
        <v>0</v>
      </c>
      <c r="CE239" s="39">
        <v>0</v>
      </c>
      <c r="CF239" s="19">
        <f t="shared" si="742"/>
        <v>0</v>
      </c>
      <c r="CG239" s="39">
        <v>0</v>
      </c>
      <c r="CH239" s="39">
        <v>0</v>
      </c>
      <c r="CI239" s="39">
        <v>0</v>
      </c>
      <c r="CJ239" s="39">
        <v>0</v>
      </c>
      <c r="CK239" s="39">
        <v>0</v>
      </c>
      <c r="CL239" s="39">
        <f t="shared" si="743"/>
        <v>0</v>
      </c>
      <c r="CM239" s="39">
        <v>0</v>
      </c>
      <c r="CN239" s="39">
        <v>0</v>
      </c>
      <c r="CO239" s="39">
        <v>0</v>
      </c>
      <c r="CP239" s="39"/>
      <c r="CQ239" s="39"/>
      <c r="CR239" s="39"/>
      <c r="CS239" s="39"/>
      <c r="CT239" s="39">
        <v>0</v>
      </c>
      <c r="CU239" s="39"/>
      <c r="CV239" s="39"/>
      <c r="CW239" s="39"/>
      <c r="CX239" s="39">
        <f t="shared" si="712"/>
        <v>0</v>
      </c>
      <c r="CY239" s="39">
        <f t="shared" si="713"/>
        <v>0</v>
      </c>
      <c r="CZ239" s="39">
        <v>0</v>
      </c>
      <c r="DA239" s="41">
        <v>0</v>
      </c>
    </row>
    <row r="240" spans="1:105" s="87" customFormat="1" ht="15.75" x14ac:dyDescent="0.25">
      <c r="A240" s="78"/>
      <c r="B240" s="79"/>
      <c r="C240" s="80" t="s">
        <v>553</v>
      </c>
      <c r="D240" s="62">
        <f t="shared" ref="D240:AJ240" si="791">SUM(D241:D264)</f>
        <v>249987032</v>
      </c>
      <c r="E240" s="62">
        <f t="shared" si="791"/>
        <v>232101429</v>
      </c>
      <c r="F240" s="62">
        <f t="shared" si="791"/>
        <v>231910583</v>
      </c>
      <c r="G240" s="62">
        <f t="shared" si="791"/>
        <v>106876708</v>
      </c>
      <c r="H240" s="62">
        <f t="shared" si="791"/>
        <v>21349385</v>
      </c>
      <c r="I240" s="62">
        <f t="shared" si="791"/>
        <v>57906989</v>
      </c>
      <c r="J240" s="62">
        <f t="shared" si="791"/>
        <v>14566575</v>
      </c>
      <c r="K240" s="62">
        <f t="shared" si="791"/>
        <v>1689457</v>
      </c>
      <c r="L240" s="62">
        <f t="shared" si="791"/>
        <v>1913099</v>
      </c>
      <c r="M240" s="62">
        <f t="shared" si="791"/>
        <v>0</v>
      </c>
      <c r="N240" s="62">
        <f t="shared" si="791"/>
        <v>12260139</v>
      </c>
      <c r="O240" s="62">
        <f t="shared" si="791"/>
        <v>27477719</v>
      </c>
      <c r="P240" s="62">
        <f t="shared" si="791"/>
        <v>560140</v>
      </c>
      <c r="Q240" s="62">
        <f t="shared" si="791"/>
        <v>89717</v>
      </c>
      <c r="R240" s="62">
        <f t="shared" si="791"/>
        <v>470423</v>
      </c>
      <c r="S240" s="62">
        <f t="shared" si="791"/>
        <v>224964</v>
      </c>
      <c r="T240" s="62">
        <f t="shared" si="791"/>
        <v>1270081</v>
      </c>
      <c r="U240" s="62">
        <f t="shared" si="791"/>
        <v>9473843</v>
      </c>
      <c r="V240" s="62">
        <f t="shared" si="791"/>
        <v>2771275</v>
      </c>
      <c r="W240" s="62">
        <f t="shared" si="791"/>
        <v>3380746</v>
      </c>
      <c r="X240" s="62">
        <f t="shared" si="791"/>
        <v>1201215</v>
      </c>
      <c r="Y240" s="62">
        <f t="shared" si="791"/>
        <v>1129443</v>
      </c>
      <c r="Z240" s="62">
        <f t="shared" si="791"/>
        <v>670281</v>
      </c>
      <c r="AA240" s="62">
        <f t="shared" si="791"/>
        <v>133016</v>
      </c>
      <c r="AB240" s="62">
        <f t="shared" si="791"/>
        <v>0</v>
      </c>
      <c r="AC240" s="62">
        <f t="shared" si="791"/>
        <v>187867</v>
      </c>
      <c r="AD240" s="62">
        <f t="shared" ref="AD240" si="792">SUM(AD241:AD264)</f>
        <v>0</v>
      </c>
      <c r="AE240" s="62">
        <f t="shared" si="791"/>
        <v>34248473</v>
      </c>
      <c r="AF240" s="62">
        <f t="shared" si="791"/>
        <v>76256</v>
      </c>
      <c r="AG240" s="62">
        <f t="shared" si="791"/>
        <v>0</v>
      </c>
      <c r="AH240" s="62">
        <f t="shared" si="791"/>
        <v>3368928</v>
      </c>
      <c r="AI240" s="62">
        <f t="shared" si="791"/>
        <v>9763191</v>
      </c>
      <c r="AJ240" s="62">
        <f t="shared" si="791"/>
        <v>308224</v>
      </c>
      <c r="AK240" s="62">
        <f t="shared" ref="AK240:BP240" si="793">SUM(AK241:AK264)</f>
        <v>631122</v>
      </c>
      <c r="AL240" s="62">
        <f t="shared" si="793"/>
        <v>5000</v>
      </c>
      <c r="AM240" s="62">
        <f t="shared" si="793"/>
        <v>317782</v>
      </c>
      <c r="AN240" s="62">
        <f t="shared" si="793"/>
        <v>2916738</v>
      </c>
      <c r="AO240" s="62">
        <f t="shared" si="793"/>
        <v>15000</v>
      </c>
      <c r="AP240" s="62">
        <f t="shared" si="793"/>
        <v>19000</v>
      </c>
      <c r="AQ240" s="62">
        <f t="shared" si="793"/>
        <v>50000</v>
      </c>
      <c r="AR240" s="62">
        <f t="shared" si="793"/>
        <v>284726</v>
      </c>
      <c r="AS240" s="62">
        <f t="shared" si="793"/>
        <v>275174</v>
      </c>
      <c r="AT240" s="62">
        <f t="shared" si="793"/>
        <v>899823</v>
      </c>
      <c r="AU240" s="62">
        <f t="shared" si="793"/>
        <v>0</v>
      </c>
      <c r="AV240" s="62">
        <f t="shared" si="793"/>
        <v>3618</v>
      </c>
      <c r="AW240" s="62">
        <f t="shared" si="793"/>
        <v>0</v>
      </c>
      <c r="AX240" s="62">
        <f t="shared" si="793"/>
        <v>1271578</v>
      </c>
      <c r="AY240" s="62">
        <f t="shared" si="793"/>
        <v>400434</v>
      </c>
      <c r="AZ240" s="62">
        <f t="shared" si="793"/>
        <v>100000</v>
      </c>
      <c r="BA240" s="62">
        <f t="shared" si="793"/>
        <v>13541879</v>
      </c>
      <c r="BB240" s="62">
        <f t="shared" si="793"/>
        <v>190846</v>
      </c>
      <c r="BC240" s="62">
        <f t="shared" si="793"/>
        <v>0</v>
      </c>
      <c r="BD240" s="62">
        <f t="shared" si="793"/>
        <v>0</v>
      </c>
      <c r="BE240" s="62">
        <f t="shared" si="793"/>
        <v>0</v>
      </c>
      <c r="BF240" s="62">
        <f t="shared" si="793"/>
        <v>0</v>
      </c>
      <c r="BG240" s="62">
        <f t="shared" si="793"/>
        <v>0</v>
      </c>
      <c r="BH240" s="62">
        <f t="shared" si="793"/>
        <v>0</v>
      </c>
      <c r="BI240" s="62">
        <f t="shared" si="793"/>
        <v>0</v>
      </c>
      <c r="BJ240" s="62">
        <f t="shared" si="793"/>
        <v>0</v>
      </c>
      <c r="BK240" s="62">
        <f t="shared" si="793"/>
        <v>0</v>
      </c>
      <c r="BL240" s="62">
        <f t="shared" si="793"/>
        <v>0</v>
      </c>
      <c r="BM240" s="62">
        <f t="shared" si="793"/>
        <v>0</v>
      </c>
      <c r="BN240" s="62">
        <f t="shared" si="793"/>
        <v>0</v>
      </c>
      <c r="BO240" s="62">
        <f t="shared" si="793"/>
        <v>190846</v>
      </c>
      <c r="BP240" s="62">
        <f t="shared" si="793"/>
        <v>0</v>
      </c>
      <c r="BQ240" s="62">
        <f t="shared" ref="BQ240:CO240" si="794">SUM(BQ241:BQ264)</f>
        <v>0</v>
      </c>
      <c r="BR240" s="62">
        <f t="shared" si="794"/>
        <v>0</v>
      </c>
      <c r="BS240" s="62">
        <f t="shared" si="794"/>
        <v>0</v>
      </c>
      <c r="BT240" s="62">
        <f t="shared" si="794"/>
        <v>0</v>
      </c>
      <c r="BU240" s="62">
        <f t="shared" si="794"/>
        <v>0</v>
      </c>
      <c r="BV240" s="62">
        <f t="shared" si="794"/>
        <v>0</v>
      </c>
      <c r="BW240" s="62">
        <f t="shared" si="794"/>
        <v>0</v>
      </c>
      <c r="BX240" s="62">
        <f t="shared" si="794"/>
        <v>0</v>
      </c>
      <c r="BY240" s="62">
        <f t="shared" si="794"/>
        <v>36502</v>
      </c>
      <c r="BZ240" s="62">
        <f t="shared" si="794"/>
        <v>154344</v>
      </c>
      <c r="CA240" s="62">
        <f t="shared" si="794"/>
        <v>17885603</v>
      </c>
      <c r="CB240" s="62">
        <f t="shared" si="794"/>
        <v>17885603</v>
      </c>
      <c r="CC240" s="62">
        <f t="shared" si="794"/>
        <v>14212892</v>
      </c>
      <c r="CD240" s="62">
        <f t="shared" si="794"/>
        <v>220580</v>
      </c>
      <c r="CE240" s="62">
        <f t="shared" si="794"/>
        <v>13992312</v>
      </c>
      <c r="CF240" s="62">
        <f t="shared" si="794"/>
        <v>0</v>
      </c>
      <c r="CG240" s="62">
        <f t="shared" si="794"/>
        <v>0</v>
      </c>
      <c r="CH240" s="62">
        <f t="shared" si="794"/>
        <v>0</v>
      </c>
      <c r="CI240" s="62">
        <f t="shared" si="794"/>
        <v>0</v>
      </c>
      <c r="CJ240" s="62">
        <f t="shared" si="794"/>
        <v>0</v>
      </c>
      <c r="CK240" s="62">
        <f t="shared" si="794"/>
        <v>0</v>
      </c>
      <c r="CL240" s="62">
        <f t="shared" si="794"/>
        <v>3672711</v>
      </c>
      <c r="CM240" s="62">
        <f t="shared" si="794"/>
        <v>100000</v>
      </c>
      <c r="CN240" s="62">
        <f t="shared" si="794"/>
        <v>785662</v>
      </c>
      <c r="CO240" s="62">
        <f t="shared" si="794"/>
        <v>2787049</v>
      </c>
      <c r="CP240" s="62"/>
      <c r="CQ240" s="62"/>
      <c r="CR240" s="62"/>
      <c r="CS240" s="62"/>
      <c r="CT240" s="62">
        <f>SUM(CT241:CT264)</f>
        <v>0</v>
      </c>
      <c r="CU240" s="62"/>
      <c r="CV240" s="62"/>
      <c r="CW240" s="62"/>
      <c r="CX240" s="62">
        <f>SUM(CX241:CX264)</f>
        <v>0</v>
      </c>
      <c r="CY240" s="62">
        <f>SUM(CY241:CY264)</f>
        <v>0</v>
      </c>
      <c r="CZ240" s="62">
        <f>SUM(CZ241:CZ264)</f>
        <v>0</v>
      </c>
      <c r="DA240" s="81">
        <f>SUM(DA241:DA264)</f>
        <v>0</v>
      </c>
    </row>
    <row r="241" spans="1:105" s="87" customFormat="1" ht="31.5" x14ac:dyDescent="0.25">
      <c r="A241" s="75" t="s">
        <v>1</v>
      </c>
      <c r="B241" s="60" t="s">
        <v>80</v>
      </c>
      <c r="C241" s="61" t="s">
        <v>554</v>
      </c>
      <c r="D241" s="62">
        <f t="shared" ref="D241:D264" si="795">SUM(E241+CA241+CX241)</f>
        <v>100426</v>
      </c>
      <c r="E241" s="63">
        <f t="shared" ref="E241:E264" si="796">SUM(F241+BB241)</f>
        <v>100426</v>
      </c>
      <c r="F241" s="63">
        <f t="shared" ref="F241:F264" si="797">SUM(G241+H241+I241+P241+S241+T241+U241+AE241)</f>
        <v>100426</v>
      </c>
      <c r="G241" s="64">
        <v>0</v>
      </c>
      <c r="H241" s="64">
        <v>0</v>
      </c>
      <c r="I241" s="63">
        <f t="shared" si="707"/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3">
        <f t="shared" si="708"/>
        <v>0</v>
      </c>
      <c r="Q241" s="64"/>
      <c r="R241" s="64"/>
      <c r="S241" s="64"/>
      <c r="T241" s="64"/>
      <c r="U241" s="63">
        <f t="shared" ref="U241:U264" si="798">SUM(V241:AC241)</f>
        <v>0</v>
      </c>
      <c r="V241" s="64">
        <v>0</v>
      </c>
      <c r="W241" s="64">
        <v>0</v>
      </c>
      <c r="X241" s="64">
        <v>0</v>
      </c>
      <c r="Y241" s="64">
        <v>0</v>
      </c>
      <c r="Z241" s="64">
        <v>0</v>
      </c>
      <c r="AA241" s="64">
        <v>0</v>
      </c>
      <c r="AB241" s="64">
        <v>0</v>
      </c>
      <c r="AC241" s="64">
        <v>0</v>
      </c>
      <c r="AD241" s="65">
        <v>0</v>
      </c>
      <c r="AE241" s="63">
        <f t="shared" ref="AE241:AE264" si="799">SUM(AF241:BA241)</f>
        <v>100426</v>
      </c>
      <c r="AF241" s="65">
        <v>0</v>
      </c>
      <c r="AG241" s="65">
        <v>0</v>
      </c>
      <c r="AH241" s="64">
        <v>0</v>
      </c>
      <c r="AI241" s="64">
        <v>0</v>
      </c>
      <c r="AJ241" s="64">
        <v>0</v>
      </c>
      <c r="AK241" s="64">
        <v>0</v>
      </c>
      <c r="AL241" s="64">
        <v>0</v>
      </c>
      <c r="AM241" s="64">
        <v>0</v>
      </c>
      <c r="AN241" s="64">
        <f>0+78426</f>
        <v>78426</v>
      </c>
      <c r="AO241" s="64">
        <f>78000-78000</f>
        <v>0</v>
      </c>
      <c r="AP241" s="64">
        <v>0</v>
      </c>
      <c r="AQ241" s="64"/>
      <c r="AR241" s="64">
        <v>0</v>
      </c>
      <c r="AS241" s="64">
        <v>0</v>
      </c>
      <c r="AT241" s="64">
        <v>0</v>
      </c>
      <c r="AU241" s="64">
        <v>0</v>
      </c>
      <c r="AV241" s="64">
        <v>0</v>
      </c>
      <c r="AW241" s="64">
        <v>0</v>
      </c>
      <c r="AX241" s="64">
        <v>0</v>
      </c>
      <c r="AY241" s="64">
        <v>0</v>
      </c>
      <c r="AZ241" s="64">
        <v>0</v>
      </c>
      <c r="BA241" s="64">
        <v>22000</v>
      </c>
      <c r="BB241" s="63">
        <f t="shared" ref="BB241:BB264" si="800">SUM(BC241+BG241+BJ241+BL241+BO241)</f>
        <v>0</v>
      </c>
      <c r="BC241" s="63">
        <f t="shared" ref="BC241:BC264" si="801">SUM(BD241:BF241)</f>
        <v>0</v>
      </c>
      <c r="BD241" s="63">
        <v>0</v>
      </c>
      <c r="BE241" s="63">
        <v>0</v>
      </c>
      <c r="BF241" s="63">
        <v>0</v>
      </c>
      <c r="BG241" s="63">
        <f t="shared" ref="BG241:BG264" si="802">SUM(BI241:BI241)</f>
        <v>0</v>
      </c>
      <c r="BH241" s="63">
        <v>0</v>
      </c>
      <c r="BI241" s="63">
        <v>0</v>
      </c>
      <c r="BJ241" s="63">
        <v>0</v>
      </c>
      <c r="BK241" s="63">
        <v>0</v>
      </c>
      <c r="BL241" s="63">
        <f t="shared" si="710"/>
        <v>0</v>
      </c>
      <c r="BM241" s="63">
        <v>0</v>
      </c>
      <c r="BN241" s="63">
        <v>0</v>
      </c>
      <c r="BO241" s="63">
        <f t="shared" ref="BO241:BO264" si="803">SUM(BP241:BZ241)</f>
        <v>0</v>
      </c>
      <c r="BP241" s="63">
        <v>0</v>
      </c>
      <c r="BQ241" s="63">
        <v>0</v>
      </c>
      <c r="BR241" s="63">
        <v>0</v>
      </c>
      <c r="BS241" s="63">
        <v>0</v>
      </c>
      <c r="BT241" s="63">
        <v>0</v>
      </c>
      <c r="BU241" s="63">
        <v>0</v>
      </c>
      <c r="BV241" s="63">
        <v>0</v>
      </c>
      <c r="BW241" s="63">
        <v>0</v>
      </c>
      <c r="BX241" s="63">
        <v>0</v>
      </c>
      <c r="BY241" s="63">
        <v>0</v>
      </c>
      <c r="BZ241" s="63">
        <v>0</v>
      </c>
      <c r="CA241" s="63">
        <f t="shared" ref="CA241:CA264" si="804">SUM(CB241+CT241)</f>
        <v>0</v>
      </c>
      <c r="CB241" s="63">
        <f t="shared" ref="CB241:CB264" si="805">SUM(CC241+CF241+CL241)</f>
        <v>0</v>
      </c>
      <c r="CC241" s="63">
        <f t="shared" si="711"/>
        <v>0</v>
      </c>
      <c r="CD241" s="65"/>
      <c r="CE241" s="64">
        <v>0</v>
      </c>
      <c r="CF241" s="63">
        <f t="shared" ref="CF241:CF264" si="806">SUM(CG241:CK241)</f>
        <v>0</v>
      </c>
      <c r="CG241" s="63">
        <v>0</v>
      </c>
      <c r="CH241" s="63">
        <v>0</v>
      </c>
      <c r="CI241" s="63">
        <v>0</v>
      </c>
      <c r="CJ241" s="63">
        <v>0</v>
      </c>
      <c r="CK241" s="63">
        <v>0</v>
      </c>
      <c r="CL241" s="63">
        <f t="shared" ref="CL241:CL264" si="807">SUM(CM241:CQ241)</f>
        <v>0</v>
      </c>
      <c r="CM241" s="67">
        <v>0</v>
      </c>
      <c r="CN241" s="67">
        <v>0</v>
      </c>
      <c r="CO241" s="63">
        <v>0</v>
      </c>
      <c r="CP241" s="63">
        <v>0</v>
      </c>
      <c r="CQ241" s="63">
        <v>0</v>
      </c>
      <c r="CR241" s="63"/>
      <c r="CS241" s="63"/>
      <c r="CT241" s="63">
        <v>0</v>
      </c>
      <c r="CU241" s="63"/>
      <c r="CV241" s="63"/>
      <c r="CW241" s="63"/>
      <c r="CX241" s="63">
        <f t="shared" si="712"/>
        <v>0</v>
      </c>
      <c r="CY241" s="63">
        <f t="shared" si="713"/>
        <v>0</v>
      </c>
      <c r="CZ241" s="63">
        <v>0</v>
      </c>
      <c r="DA241" s="66">
        <v>0</v>
      </c>
    </row>
    <row r="242" spans="1:105" s="84" customFormat="1" ht="31.5" x14ac:dyDescent="0.25">
      <c r="A242" s="74" t="s">
        <v>1</v>
      </c>
      <c r="B242" s="36" t="s">
        <v>82</v>
      </c>
      <c r="C242" s="37" t="s">
        <v>555</v>
      </c>
      <c r="D242" s="38">
        <f t="shared" si="795"/>
        <v>1593989</v>
      </c>
      <c r="E242" s="39">
        <f t="shared" si="796"/>
        <v>1562985</v>
      </c>
      <c r="F242" s="39">
        <f t="shared" si="797"/>
        <v>1562985</v>
      </c>
      <c r="G242" s="35">
        <f>0+346406</f>
        <v>346406</v>
      </c>
      <c r="H242" s="35">
        <f>0+86602</f>
        <v>86602</v>
      </c>
      <c r="I242" s="39">
        <f t="shared" si="707"/>
        <v>481771</v>
      </c>
      <c r="J242" s="35">
        <f>0+10000</f>
        <v>10000</v>
      </c>
      <c r="K242" s="35">
        <v>0</v>
      </c>
      <c r="L242" s="35">
        <f>12708+10000+421058</f>
        <v>443766</v>
      </c>
      <c r="M242" s="35">
        <v>0</v>
      </c>
      <c r="N242" s="35">
        <f>0+14024</f>
        <v>14024</v>
      </c>
      <c r="O242" s="35">
        <f>7500+481+6000</f>
        <v>13981</v>
      </c>
      <c r="P242" s="39">
        <f t="shared" si="708"/>
        <v>0</v>
      </c>
      <c r="Q242" s="35"/>
      <c r="R242" s="35"/>
      <c r="S242" s="35"/>
      <c r="T242" s="35">
        <f>0+2778</f>
        <v>2778</v>
      </c>
      <c r="U242" s="39">
        <f t="shared" si="798"/>
        <v>58973</v>
      </c>
      <c r="V242" s="35">
        <f>11224+5000</f>
        <v>16224</v>
      </c>
      <c r="W242" s="35">
        <f>0+22491</f>
        <v>22491</v>
      </c>
      <c r="X242" s="35">
        <f>0+7283</f>
        <v>7283</v>
      </c>
      <c r="Y242" s="35">
        <f>0+9263</f>
        <v>9263</v>
      </c>
      <c r="Z242" s="35">
        <f>0+3712</f>
        <v>3712</v>
      </c>
      <c r="AA242" s="35">
        <v>0</v>
      </c>
      <c r="AB242" s="35">
        <v>0</v>
      </c>
      <c r="AC242" s="35">
        <v>0</v>
      </c>
      <c r="AD242" s="40">
        <v>0</v>
      </c>
      <c r="AE242" s="39">
        <f t="shared" si="799"/>
        <v>586455</v>
      </c>
      <c r="AF242" s="40">
        <v>0</v>
      </c>
      <c r="AG242" s="40">
        <v>0</v>
      </c>
      <c r="AH242" s="35">
        <v>0</v>
      </c>
      <c r="AI242" s="35">
        <v>0</v>
      </c>
      <c r="AJ242" s="35">
        <v>0</v>
      </c>
      <c r="AK242" s="35">
        <v>0</v>
      </c>
      <c r="AL242" s="35">
        <v>0</v>
      </c>
      <c r="AM242" s="35">
        <v>0</v>
      </c>
      <c r="AN242" s="35">
        <v>0</v>
      </c>
      <c r="AO242" s="35">
        <v>0</v>
      </c>
      <c r="AP242" s="35">
        <v>0</v>
      </c>
      <c r="AQ242" s="35"/>
      <c r="AR242" s="35">
        <v>0</v>
      </c>
      <c r="AS242" s="35">
        <v>0</v>
      </c>
      <c r="AT242" s="35">
        <f>0+7012</f>
        <v>7012</v>
      </c>
      <c r="AU242" s="35">
        <v>0</v>
      </c>
      <c r="AV242" s="35">
        <v>0</v>
      </c>
      <c r="AW242" s="35">
        <v>0</v>
      </c>
      <c r="AX242" s="35">
        <v>0</v>
      </c>
      <c r="AY242" s="35">
        <v>0</v>
      </c>
      <c r="AZ242" s="35">
        <v>0</v>
      </c>
      <c r="BA242" s="35">
        <f>197229+382214</f>
        <v>579443</v>
      </c>
      <c r="BB242" s="39">
        <f t="shared" si="800"/>
        <v>0</v>
      </c>
      <c r="BC242" s="39">
        <f t="shared" si="801"/>
        <v>0</v>
      </c>
      <c r="BD242" s="39">
        <v>0</v>
      </c>
      <c r="BE242" s="39">
        <v>0</v>
      </c>
      <c r="BF242" s="39">
        <v>0</v>
      </c>
      <c r="BG242" s="39">
        <f t="shared" si="802"/>
        <v>0</v>
      </c>
      <c r="BH242" s="39">
        <v>0</v>
      </c>
      <c r="BI242" s="39">
        <v>0</v>
      </c>
      <c r="BJ242" s="39">
        <v>0</v>
      </c>
      <c r="BK242" s="39">
        <v>0</v>
      </c>
      <c r="BL242" s="39">
        <f t="shared" si="710"/>
        <v>0</v>
      </c>
      <c r="BM242" s="39">
        <v>0</v>
      </c>
      <c r="BN242" s="39">
        <v>0</v>
      </c>
      <c r="BO242" s="39">
        <f t="shared" si="803"/>
        <v>0</v>
      </c>
      <c r="BP242" s="39">
        <v>0</v>
      </c>
      <c r="BQ242" s="39">
        <v>0</v>
      </c>
      <c r="BR242" s="39">
        <v>0</v>
      </c>
      <c r="BS242" s="39">
        <v>0</v>
      </c>
      <c r="BT242" s="39">
        <v>0</v>
      </c>
      <c r="BU242" s="39">
        <v>0</v>
      </c>
      <c r="BV242" s="39">
        <v>0</v>
      </c>
      <c r="BW242" s="39">
        <v>0</v>
      </c>
      <c r="BX242" s="39">
        <v>0</v>
      </c>
      <c r="BY242" s="39">
        <v>0</v>
      </c>
      <c r="BZ242" s="39">
        <v>0</v>
      </c>
      <c r="CA242" s="39">
        <f t="shared" si="804"/>
        <v>31004</v>
      </c>
      <c r="CB242" s="39">
        <f t="shared" si="805"/>
        <v>31004</v>
      </c>
      <c r="CC242" s="39">
        <f t="shared" si="711"/>
        <v>31004</v>
      </c>
      <c r="CD242" s="40"/>
      <c r="CE242" s="35">
        <f>0+31004</f>
        <v>31004</v>
      </c>
      <c r="CF242" s="39">
        <f t="shared" si="806"/>
        <v>0</v>
      </c>
      <c r="CG242" s="39">
        <v>0</v>
      </c>
      <c r="CH242" s="39">
        <v>0</v>
      </c>
      <c r="CI242" s="39">
        <v>0</v>
      </c>
      <c r="CJ242" s="39">
        <v>0</v>
      </c>
      <c r="CK242" s="39">
        <v>0</v>
      </c>
      <c r="CL242" s="39">
        <f t="shared" si="807"/>
        <v>0</v>
      </c>
      <c r="CM242" s="82">
        <v>0</v>
      </c>
      <c r="CN242" s="82">
        <v>0</v>
      </c>
      <c r="CO242" s="39">
        <v>0</v>
      </c>
      <c r="CP242" s="39">
        <v>0</v>
      </c>
      <c r="CQ242" s="39">
        <v>0</v>
      </c>
      <c r="CR242" s="39"/>
      <c r="CS242" s="39"/>
      <c r="CT242" s="39">
        <v>0</v>
      </c>
      <c r="CU242" s="39"/>
      <c r="CV242" s="39"/>
      <c r="CW242" s="39"/>
      <c r="CX242" s="39">
        <f t="shared" si="712"/>
        <v>0</v>
      </c>
      <c r="CY242" s="39">
        <f t="shared" si="713"/>
        <v>0</v>
      </c>
      <c r="CZ242" s="39">
        <v>0</v>
      </c>
      <c r="DA242" s="41">
        <v>0</v>
      </c>
    </row>
    <row r="243" spans="1:105" s="87" customFormat="1" ht="31.5" x14ac:dyDescent="0.25">
      <c r="A243" s="75" t="s">
        <v>1</v>
      </c>
      <c r="B243" s="60" t="s">
        <v>84</v>
      </c>
      <c r="C243" s="61" t="s">
        <v>556</v>
      </c>
      <c r="D243" s="62">
        <f t="shared" si="795"/>
        <v>4742091</v>
      </c>
      <c r="E243" s="63">
        <f t="shared" si="796"/>
        <v>4611967</v>
      </c>
      <c r="F243" s="63">
        <f t="shared" si="797"/>
        <v>4611967</v>
      </c>
      <c r="G243" s="64">
        <f>2797000+200000</f>
        <v>2997000</v>
      </c>
      <c r="H243" s="64">
        <v>699260</v>
      </c>
      <c r="I243" s="63">
        <f>SUM(J243:O243)</f>
        <v>352945</v>
      </c>
      <c r="J243" s="64">
        <v>5872</v>
      </c>
      <c r="K243" s="64">
        <v>757</v>
      </c>
      <c r="L243" s="64">
        <f>122200+50000</f>
        <v>172200</v>
      </c>
      <c r="M243" s="64">
        <v>0</v>
      </c>
      <c r="N243" s="64">
        <v>34896</v>
      </c>
      <c r="O243" s="64">
        <v>139220</v>
      </c>
      <c r="P243" s="63">
        <f>SUM(Q243:R243)</f>
        <v>7480</v>
      </c>
      <c r="Q243" s="64">
        <v>3876</v>
      </c>
      <c r="R243" s="64">
        <v>3604</v>
      </c>
      <c r="S243" s="64">
        <v>0</v>
      </c>
      <c r="T243" s="64">
        <v>6100</v>
      </c>
      <c r="U243" s="63">
        <f t="shared" si="798"/>
        <v>359602</v>
      </c>
      <c r="V243" s="64">
        <v>11400</v>
      </c>
      <c r="W243" s="64">
        <f>109820+123941</f>
        <v>233761</v>
      </c>
      <c r="X243" s="64">
        <f>4326+45000</f>
        <v>49326</v>
      </c>
      <c r="Y243" s="64">
        <f>8907+35000</f>
        <v>43907</v>
      </c>
      <c r="Z243" s="64">
        <f>4208+17000</f>
        <v>21208</v>
      </c>
      <c r="AA243" s="64">
        <v>0</v>
      </c>
      <c r="AB243" s="64">
        <v>0</v>
      </c>
      <c r="AC243" s="64">
        <v>0</v>
      </c>
      <c r="AD243" s="65">
        <v>0</v>
      </c>
      <c r="AE243" s="63">
        <f t="shared" si="799"/>
        <v>189580</v>
      </c>
      <c r="AF243" s="65">
        <v>0</v>
      </c>
      <c r="AG243" s="65">
        <v>0</v>
      </c>
      <c r="AH243" s="64">
        <v>2122</v>
      </c>
      <c r="AI243" s="64">
        <f>44705+20000</f>
        <v>64705</v>
      </c>
      <c r="AJ243" s="64">
        <v>7884</v>
      </c>
      <c r="AK243" s="64">
        <v>20940</v>
      </c>
      <c r="AL243" s="64">
        <v>0</v>
      </c>
      <c r="AM243" s="64">
        <v>3437</v>
      </c>
      <c r="AN243" s="64">
        <v>19932</v>
      </c>
      <c r="AO243" s="64">
        <v>0</v>
      </c>
      <c r="AP243" s="64">
        <v>0</v>
      </c>
      <c r="AQ243" s="64"/>
      <c r="AR243" s="64">
        <v>0</v>
      </c>
      <c r="AS243" s="64">
        <v>0</v>
      </c>
      <c r="AT243" s="64">
        <v>51600</v>
      </c>
      <c r="AU243" s="64">
        <v>0</v>
      </c>
      <c r="AV243" s="64">
        <v>0</v>
      </c>
      <c r="AW243" s="64">
        <v>0</v>
      </c>
      <c r="AX243" s="64">
        <v>0</v>
      </c>
      <c r="AY243" s="64">
        <v>0</v>
      </c>
      <c r="AZ243" s="64">
        <v>0</v>
      </c>
      <c r="BA243" s="64">
        <v>18960</v>
      </c>
      <c r="BB243" s="63">
        <f t="shared" si="800"/>
        <v>0</v>
      </c>
      <c r="BC243" s="63">
        <f t="shared" si="801"/>
        <v>0</v>
      </c>
      <c r="BD243" s="63">
        <v>0</v>
      </c>
      <c r="BE243" s="63">
        <v>0</v>
      </c>
      <c r="BF243" s="63">
        <v>0</v>
      </c>
      <c r="BG243" s="63">
        <f t="shared" si="802"/>
        <v>0</v>
      </c>
      <c r="BH243" s="63">
        <v>0</v>
      </c>
      <c r="BI243" s="63">
        <v>0</v>
      </c>
      <c r="BJ243" s="63">
        <v>0</v>
      </c>
      <c r="BK243" s="63">
        <v>0</v>
      </c>
      <c r="BL243" s="63">
        <f>SUM(BM243)</f>
        <v>0</v>
      </c>
      <c r="BM243" s="63">
        <v>0</v>
      </c>
      <c r="BN243" s="63">
        <v>0</v>
      </c>
      <c r="BO243" s="63">
        <f t="shared" si="803"/>
        <v>0</v>
      </c>
      <c r="BP243" s="63">
        <v>0</v>
      </c>
      <c r="BQ243" s="63">
        <v>0</v>
      </c>
      <c r="BR243" s="63">
        <v>0</v>
      </c>
      <c r="BS243" s="63">
        <v>0</v>
      </c>
      <c r="BT243" s="63">
        <v>0</v>
      </c>
      <c r="BU243" s="63">
        <v>0</v>
      </c>
      <c r="BV243" s="63">
        <v>0</v>
      </c>
      <c r="BW243" s="63">
        <v>0</v>
      </c>
      <c r="BX243" s="63">
        <v>0</v>
      </c>
      <c r="BY243" s="63">
        <v>0</v>
      </c>
      <c r="BZ243" s="63">
        <v>0</v>
      </c>
      <c r="CA243" s="63">
        <f t="shared" si="804"/>
        <v>130124</v>
      </c>
      <c r="CB243" s="63">
        <f t="shared" si="805"/>
        <v>130124</v>
      </c>
      <c r="CC243" s="63">
        <f>SUM(CD243:CE243)</f>
        <v>130124</v>
      </c>
      <c r="CD243" s="65"/>
      <c r="CE243" s="64">
        <f>70124+60000</f>
        <v>130124</v>
      </c>
      <c r="CF243" s="63">
        <f t="shared" si="806"/>
        <v>0</v>
      </c>
      <c r="CG243" s="63">
        <v>0</v>
      </c>
      <c r="CH243" s="63">
        <v>0</v>
      </c>
      <c r="CI243" s="63">
        <v>0</v>
      </c>
      <c r="CJ243" s="63">
        <v>0</v>
      </c>
      <c r="CK243" s="63">
        <v>0</v>
      </c>
      <c r="CL243" s="63">
        <f t="shared" si="807"/>
        <v>0</v>
      </c>
      <c r="CM243" s="67">
        <v>0</v>
      </c>
      <c r="CN243" s="67">
        <v>0</v>
      </c>
      <c r="CO243" s="63">
        <v>0</v>
      </c>
      <c r="CP243" s="63">
        <v>0</v>
      </c>
      <c r="CQ243" s="63">
        <v>0</v>
      </c>
      <c r="CR243" s="63"/>
      <c r="CS243" s="63"/>
      <c r="CT243" s="63">
        <v>0</v>
      </c>
      <c r="CU243" s="63"/>
      <c r="CV243" s="63"/>
      <c r="CW243" s="63"/>
      <c r="CX243" s="63">
        <f>SUM(CY243)</f>
        <v>0</v>
      </c>
      <c r="CY243" s="63">
        <f>SUM(CZ243:DA243)</f>
        <v>0</v>
      </c>
      <c r="CZ243" s="63">
        <v>0</v>
      </c>
      <c r="DA243" s="66">
        <v>0</v>
      </c>
    </row>
    <row r="244" spans="1:105" s="87" customFormat="1" ht="31.5" x14ac:dyDescent="0.25">
      <c r="A244" s="75" t="s">
        <v>1</v>
      </c>
      <c r="B244" s="60" t="s">
        <v>84</v>
      </c>
      <c r="C244" s="61" t="s">
        <v>557</v>
      </c>
      <c r="D244" s="62">
        <f t="shared" si="795"/>
        <v>41634116</v>
      </c>
      <c r="E244" s="63">
        <f t="shared" si="796"/>
        <v>40026549</v>
      </c>
      <c r="F244" s="63">
        <f t="shared" si="797"/>
        <v>40026549</v>
      </c>
      <c r="G244" s="64">
        <f>17932737+210118-2221040</f>
        <v>15921815</v>
      </c>
      <c r="H244" s="64">
        <f>4688191+52530-760267</f>
        <v>3980454</v>
      </c>
      <c r="I244" s="63">
        <f t="shared" si="707"/>
        <v>12962829</v>
      </c>
      <c r="J244" s="64">
        <f>6366724+176372</f>
        <v>6543096</v>
      </c>
      <c r="K244" s="64">
        <f>190963-111825</f>
        <v>79138</v>
      </c>
      <c r="L244" s="64">
        <f>101270-12000</f>
        <v>89270</v>
      </c>
      <c r="M244" s="64">
        <v>0</v>
      </c>
      <c r="N244" s="64">
        <f>587089+60000+75000</f>
        <v>722089</v>
      </c>
      <c r="O244" s="64">
        <f>2403325+1360824+1765087</f>
        <v>5529236</v>
      </c>
      <c r="P244" s="63">
        <f t="shared" si="708"/>
        <v>45118</v>
      </c>
      <c r="Q244" s="64">
        <v>4534</v>
      </c>
      <c r="R244" s="64">
        <v>40584</v>
      </c>
      <c r="S244" s="64">
        <v>4562</v>
      </c>
      <c r="T244" s="64">
        <f>198980+3000-21720</f>
        <v>180260</v>
      </c>
      <c r="U244" s="63">
        <f t="shared" si="798"/>
        <v>1929662</v>
      </c>
      <c r="V244" s="64">
        <f>862750+155344</f>
        <v>1018094</v>
      </c>
      <c r="W244" s="64">
        <f>394066+723</f>
        <v>394789</v>
      </c>
      <c r="X244" s="64">
        <v>33351</v>
      </c>
      <c r="Y244" s="64">
        <f>248043+347</f>
        <v>248390</v>
      </c>
      <c r="Z244" s="64">
        <f>194253-7833</f>
        <v>186420</v>
      </c>
      <c r="AA244" s="64">
        <v>0</v>
      </c>
      <c r="AB244" s="64">
        <v>0</v>
      </c>
      <c r="AC244" s="64">
        <f>46202+9382-6966</f>
        <v>48618</v>
      </c>
      <c r="AD244" s="65">
        <v>0</v>
      </c>
      <c r="AE244" s="63">
        <f t="shared" si="799"/>
        <v>5001849</v>
      </c>
      <c r="AF244" s="65">
        <v>0</v>
      </c>
      <c r="AG244" s="65">
        <v>0</v>
      </c>
      <c r="AH244" s="64">
        <f>937241+78591+241966</f>
        <v>1257798</v>
      </c>
      <c r="AI244" s="64">
        <f>544295+459559+303477</f>
        <v>1307331</v>
      </c>
      <c r="AJ244" s="64">
        <v>0</v>
      </c>
      <c r="AK244" s="64">
        <f>68568+1000</f>
        <v>69568</v>
      </c>
      <c r="AL244" s="64">
        <v>0</v>
      </c>
      <c r="AM244" s="64">
        <v>60923</v>
      </c>
      <c r="AN244" s="64">
        <f>602197+132383</f>
        <v>734580</v>
      </c>
      <c r="AO244" s="64">
        <v>0</v>
      </c>
      <c r="AP244" s="64">
        <v>0</v>
      </c>
      <c r="AQ244" s="64"/>
      <c r="AR244" s="64">
        <v>0</v>
      </c>
      <c r="AS244" s="64">
        <f>111694-54520</f>
        <v>57174</v>
      </c>
      <c r="AT244" s="64">
        <v>66649</v>
      </c>
      <c r="AU244" s="64">
        <v>0</v>
      </c>
      <c r="AV244" s="64">
        <v>3618</v>
      </c>
      <c r="AW244" s="64">
        <v>0</v>
      </c>
      <c r="AX244" s="64">
        <v>0</v>
      </c>
      <c r="AY244" s="64">
        <v>0</v>
      </c>
      <c r="AZ244" s="64">
        <v>0</v>
      </c>
      <c r="BA244" s="64">
        <f>1013095+160489+270624</f>
        <v>1444208</v>
      </c>
      <c r="BB244" s="63">
        <f t="shared" si="800"/>
        <v>0</v>
      </c>
      <c r="BC244" s="63">
        <f t="shared" si="801"/>
        <v>0</v>
      </c>
      <c r="BD244" s="63">
        <v>0</v>
      </c>
      <c r="BE244" s="63">
        <v>0</v>
      </c>
      <c r="BF244" s="63">
        <v>0</v>
      </c>
      <c r="BG244" s="63">
        <f t="shared" si="802"/>
        <v>0</v>
      </c>
      <c r="BH244" s="63">
        <v>0</v>
      </c>
      <c r="BI244" s="63">
        <v>0</v>
      </c>
      <c r="BJ244" s="63">
        <v>0</v>
      </c>
      <c r="BK244" s="63">
        <v>0</v>
      </c>
      <c r="BL244" s="63">
        <f t="shared" si="710"/>
        <v>0</v>
      </c>
      <c r="BM244" s="63">
        <v>0</v>
      </c>
      <c r="BN244" s="63">
        <v>0</v>
      </c>
      <c r="BO244" s="63">
        <f t="shared" si="803"/>
        <v>0</v>
      </c>
      <c r="BP244" s="63">
        <v>0</v>
      </c>
      <c r="BQ244" s="63">
        <v>0</v>
      </c>
      <c r="BR244" s="63">
        <v>0</v>
      </c>
      <c r="BS244" s="63">
        <v>0</v>
      </c>
      <c r="BT244" s="63">
        <v>0</v>
      </c>
      <c r="BU244" s="63">
        <v>0</v>
      </c>
      <c r="BV244" s="63">
        <v>0</v>
      </c>
      <c r="BW244" s="63">
        <v>0</v>
      </c>
      <c r="BX244" s="63">
        <v>0</v>
      </c>
      <c r="BY244" s="63">
        <v>0</v>
      </c>
      <c r="BZ244" s="63">
        <v>0</v>
      </c>
      <c r="CA244" s="63">
        <f t="shared" si="804"/>
        <v>1607567</v>
      </c>
      <c r="CB244" s="63">
        <f t="shared" si="805"/>
        <v>1607567</v>
      </c>
      <c r="CC244" s="63">
        <f t="shared" si="711"/>
        <v>1561874</v>
      </c>
      <c r="CD244" s="65"/>
      <c r="CE244" s="64">
        <f>1137741+349215+74918</f>
        <v>1561874</v>
      </c>
      <c r="CF244" s="63">
        <f t="shared" si="806"/>
        <v>0</v>
      </c>
      <c r="CG244" s="63">
        <v>0</v>
      </c>
      <c r="CH244" s="63">
        <v>0</v>
      </c>
      <c r="CI244" s="63">
        <v>0</v>
      </c>
      <c r="CJ244" s="63">
        <v>0</v>
      </c>
      <c r="CK244" s="63">
        <v>0</v>
      </c>
      <c r="CL244" s="63">
        <f t="shared" si="807"/>
        <v>45693</v>
      </c>
      <c r="CM244" s="67">
        <v>0</v>
      </c>
      <c r="CN244" s="67">
        <v>45693</v>
      </c>
      <c r="CO244" s="63">
        <v>0</v>
      </c>
      <c r="CP244" s="63">
        <v>0</v>
      </c>
      <c r="CQ244" s="63">
        <v>0</v>
      </c>
      <c r="CR244" s="63"/>
      <c r="CS244" s="63"/>
      <c r="CT244" s="63">
        <v>0</v>
      </c>
      <c r="CU244" s="63"/>
      <c r="CV244" s="63"/>
      <c r="CW244" s="63"/>
      <c r="CX244" s="63">
        <f t="shared" si="712"/>
        <v>0</v>
      </c>
      <c r="CY244" s="63">
        <f t="shared" si="713"/>
        <v>0</v>
      </c>
      <c r="CZ244" s="63">
        <v>0</v>
      </c>
      <c r="DA244" s="66">
        <v>0</v>
      </c>
    </row>
    <row r="245" spans="1:105" s="87" customFormat="1" ht="31.5" x14ac:dyDescent="0.25">
      <c r="A245" s="75" t="s">
        <v>1</v>
      </c>
      <c r="B245" s="60" t="s">
        <v>84</v>
      </c>
      <c r="C245" s="61" t="s">
        <v>558</v>
      </c>
      <c r="D245" s="62">
        <f t="shared" si="795"/>
        <v>39743634</v>
      </c>
      <c r="E245" s="63">
        <f t="shared" si="796"/>
        <v>36403634</v>
      </c>
      <c r="F245" s="63">
        <f t="shared" si="797"/>
        <v>36403634</v>
      </c>
      <c r="G245" s="64">
        <f>16445716+250000-1971009</f>
        <v>14724707</v>
      </c>
      <c r="H245" s="64">
        <f>4111426+62500-492750</f>
        <v>3681176</v>
      </c>
      <c r="I245" s="63">
        <f t="shared" si="707"/>
        <v>11998927</v>
      </c>
      <c r="J245" s="64">
        <f>5534980+92611-490752</f>
        <v>5136839</v>
      </c>
      <c r="K245" s="64">
        <f>82000+17197</f>
        <v>99197</v>
      </c>
      <c r="L245" s="64">
        <v>13000</v>
      </c>
      <c r="M245" s="64">
        <v>0</v>
      </c>
      <c r="N245" s="64">
        <f>462500+670000-1000</f>
        <v>1131500</v>
      </c>
      <c r="O245" s="64">
        <f>2213225+873801+2531365</f>
        <v>5618391</v>
      </c>
      <c r="P245" s="63">
        <f t="shared" si="708"/>
        <v>0</v>
      </c>
      <c r="Q245" s="64">
        <v>0</v>
      </c>
      <c r="R245" s="64">
        <v>0</v>
      </c>
      <c r="S245" s="64">
        <v>0</v>
      </c>
      <c r="T245" s="64">
        <f>121161-20000</f>
        <v>101161</v>
      </c>
      <c r="U245" s="63">
        <f t="shared" si="798"/>
        <v>1285754</v>
      </c>
      <c r="V245" s="64">
        <f>702000+60000-129999</f>
        <v>632001</v>
      </c>
      <c r="W245" s="64">
        <f>337173+22594+1</f>
        <v>359768</v>
      </c>
      <c r="X245" s="64">
        <v>0</v>
      </c>
      <c r="Y245" s="64">
        <f>111055+10682</f>
        <v>121737</v>
      </c>
      <c r="Z245" s="64">
        <f>113004+3113-10000</f>
        <v>106117</v>
      </c>
      <c r="AA245" s="64">
        <f>50000+8336</f>
        <v>58336</v>
      </c>
      <c r="AB245" s="64">
        <v>0</v>
      </c>
      <c r="AC245" s="64">
        <f>7749+46</f>
        <v>7795</v>
      </c>
      <c r="AD245" s="65">
        <v>0</v>
      </c>
      <c r="AE245" s="63">
        <f t="shared" si="799"/>
        <v>4611909</v>
      </c>
      <c r="AF245" s="65">
        <v>0</v>
      </c>
      <c r="AG245" s="65">
        <v>0</v>
      </c>
      <c r="AH245" s="64">
        <f>586976+100000</f>
        <v>686976</v>
      </c>
      <c r="AI245" s="64">
        <f>1167213+1000000+430000</f>
        <v>2597213</v>
      </c>
      <c r="AJ245" s="64">
        <v>0</v>
      </c>
      <c r="AK245" s="64">
        <v>31000</v>
      </c>
      <c r="AL245" s="64">
        <v>0</v>
      </c>
      <c r="AM245" s="64">
        <f>16600-4000</f>
        <v>12600</v>
      </c>
      <c r="AN245" s="64">
        <v>340000</v>
      </c>
      <c r="AO245" s="64">
        <v>0</v>
      </c>
      <c r="AP245" s="64">
        <v>2000</v>
      </c>
      <c r="AQ245" s="64"/>
      <c r="AR245" s="64">
        <v>0</v>
      </c>
      <c r="AS245" s="64">
        <f>25000+25000</f>
        <v>50000</v>
      </c>
      <c r="AT245" s="64">
        <f>147960+60000</f>
        <v>207960</v>
      </c>
      <c r="AU245" s="64">
        <v>0</v>
      </c>
      <c r="AV245" s="64">
        <v>0</v>
      </c>
      <c r="AW245" s="64">
        <v>0</v>
      </c>
      <c r="AX245" s="64">
        <v>0</v>
      </c>
      <c r="AY245" s="64">
        <v>0</v>
      </c>
      <c r="AZ245" s="64">
        <v>0</v>
      </c>
      <c r="BA245" s="64">
        <f>666016+160000-141856</f>
        <v>684160</v>
      </c>
      <c r="BB245" s="63">
        <f t="shared" si="800"/>
        <v>0</v>
      </c>
      <c r="BC245" s="63">
        <f t="shared" si="801"/>
        <v>0</v>
      </c>
      <c r="BD245" s="63">
        <v>0</v>
      </c>
      <c r="BE245" s="63">
        <v>0</v>
      </c>
      <c r="BF245" s="63">
        <v>0</v>
      </c>
      <c r="BG245" s="63">
        <f t="shared" si="802"/>
        <v>0</v>
      </c>
      <c r="BH245" s="63">
        <v>0</v>
      </c>
      <c r="BI245" s="63">
        <v>0</v>
      </c>
      <c r="BJ245" s="63">
        <v>0</v>
      </c>
      <c r="BK245" s="63">
        <v>0</v>
      </c>
      <c r="BL245" s="63">
        <f t="shared" si="710"/>
        <v>0</v>
      </c>
      <c r="BM245" s="63">
        <v>0</v>
      </c>
      <c r="BN245" s="63">
        <v>0</v>
      </c>
      <c r="BO245" s="63">
        <f t="shared" si="803"/>
        <v>0</v>
      </c>
      <c r="BP245" s="63">
        <v>0</v>
      </c>
      <c r="BQ245" s="63">
        <v>0</v>
      </c>
      <c r="BR245" s="63">
        <v>0</v>
      </c>
      <c r="BS245" s="63">
        <v>0</v>
      </c>
      <c r="BT245" s="63">
        <v>0</v>
      </c>
      <c r="BU245" s="63">
        <v>0</v>
      </c>
      <c r="BV245" s="63">
        <v>0</v>
      </c>
      <c r="BW245" s="63">
        <v>0</v>
      </c>
      <c r="BX245" s="63">
        <v>0</v>
      </c>
      <c r="BY245" s="63">
        <v>0</v>
      </c>
      <c r="BZ245" s="63">
        <v>0</v>
      </c>
      <c r="CA245" s="63">
        <f t="shared" si="804"/>
        <v>3340000</v>
      </c>
      <c r="CB245" s="63">
        <f t="shared" si="805"/>
        <v>3340000</v>
      </c>
      <c r="CC245" s="63">
        <f t="shared" si="711"/>
        <v>3240000</v>
      </c>
      <c r="CD245" s="65"/>
      <c r="CE245" s="64">
        <f>2240000+800000+200000</f>
        <v>3240000</v>
      </c>
      <c r="CF245" s="63">
        <f t="shared" si="806"/>
        <v>0</v>
      </c>
      <c r="CG245" s="63">
        <v>0</v>
      </c>
      <c r="CH245" s="63">
        <v>0</v>
      </c>
      <c r="CI245" s="63">
        <v>0</v>
      </c>
      <c r="CJ245" s="63">
        <v>0</v>
      </c>
      <c r="CK245" s="63">
        <v>0</v>
      </c>
      <c r="CL245" s="63">
        <f t="shared" si="807"/>
        <v>100000</v>
      </c>
      <c r="CM245" s="67">
        <v>0</v>
      </c>
      <c r="CN245" s="67">
        <v>100000</v>
      </c>
      <c r="CO245" s="63">
        <v>0</v>
      </c>
      <c r="CP245" s="63">
        <v>0</v>
      </c>
      <c r="CQ245" s="63">
        <v>0</v>
      </c>
      <c r="CR245" s="63"/>
      <c r="CS245" s="63"/>
      <c r="CT245" s="63">
        <v>0</v>
      </c>
      <c r="CU245" s="63"/>
      <c r="CV245" s="63"/>
      <c r="CW245" s="63"/>
      <c r="CX245" s="63">
        <f t="shared" si="712"/>
        <v>0</v>
      </c>
      <c r="CY245" s="63">
        <f t="shared" si="713"/>
        <v>0</v>
      </c>
      <c r="CZ245" s="63">
        <v>0</v>
      </c>
      <c r="DA245" s="66">
        <v>0</v>
      </c>
    </row>
    <row r="246" spans="1:105" s="87" customFormat="1" ht="15.75" x14ac:dyDescent="0.25">
      <c r="A246" s="75" t="s">
        <v>1</v>
      </c>
      <c r="B246" s="60" t="s">
        <v>84</v>
      </c>
      <c r="C246" s="61" t="s">
        <v>559</v>
      </c>
      <c r="D246" s="62">
        <f t="shared" si="795"/>
        <v>10587483</v>
      </c>
      <c r="E246" s="63">
        <f t="shared" si="796"/>
        <v>9980070</v>
      </c>
      <c r="F246" s="63">
        <f t="shared" si="797"/>
        <v>9980070</v>
      </c>
      <c r="G246" s="64">
        <f>4427207+66880-567347</f>
        <v>3926740</v>
      </c>
      <c r="H246" s="64">
        <f>1106803+16327-141446</f>
        <v>981684</v>
      </c>
      <c r="I246" s="63">
        <f t="shared" si="707"/>
        <v>3122035</v>
      </c>
      <c r="J246" s="64">
        <f>979774+7000+1</f>
        <v>986775</v>
      </c>
      <c r="K246" s="64">
        <f>24500+6800</f>
        <v>31300</v>
      </c>
      <c r="L246" s="64">
        <v>48000</v>
      </c>
      <c r="M246" s="64">
        <v>0</v>
      </c>
      <c r="N246" s="64">
        <f>368279+67910+37311</f>
        <v>473500</v>
      </c>
      <c r="O246" s="64">
        <f>718730+460965+402765</f>
        <v>1582460</v>
      </c>
      <c r="P246" s="63">
        <f t="shared" si="708"/>
        <v>29762</v>
      </c>
      <c r="Q246" s="64">
        <f>26962+300</f>
        <v>27262</v>
      </c>
      <c r="R246" s="64">
        <v>2500</v>
      </c>
      <c r="S246" s="64">
        <v>0</v>
      </c>
      <c r="T246" s="64">
        <v>64750</v>
      </c>
      <c r="U246" s="63">
        <f t="shared" si="798"/>
        <v>256686</v>
      </c>
      <c r="V246" s="64">
        <f>46300+5000</f>
        <v>51300</v>
      </c>
      <c r="W246" s="64">
        <f>97615+77050-26326</f>
        <v>148339</v>
      </c>
      <c r="X246" s="64">
        <f>8+6646-4664</f>
        <v>1990</v>
      </c>
      <c r="Y246" s="64">
        <f>38430+709-203</f>
        <v>38936</v>
      </c>
      <c r="Z246" s="64">
        <f>15624+324</f>
        <v>15948</v>
      </c>
      <c r="AA246" s="64">
        <v>0</v>
      </c>
      <c r="AB246" s="64">
        <v>0</v>
      </c>
      <c r="AC246" s="64">
        <v>173</v>
      </c>
      <c r="AD246" s="65">
        <v>0</v>
      </c>
      <c r="AE246" s="63">
        <f t="shared" si="799"/>
        <v>1598413</v>
      </c>
      <c r="AF246" s="65">
        <v>0</v>
      </c>
      <c r="AG246" s="65">
        <v>0</v>
      </c>
      <c r="AH246" s="64">
        <f>142914+2000</f>
        <v>144914</v>
      </c>
      <c r="AI246" s="64">
        <f>503127+260289+101000</f>
        <v>864416</v>
      </c>
      <c r="AJ246" s="64">
        <v>0</v>
      </c>
      <c r="AK246" s="64">
        <v>37010</v>
      </c>
      <c r="AL246" s="64">
        <v>0</v>
      </c>
      <c r="AM246" s="64">
        <v>2300</v>
      </c>
      <c r="AN246" s="64">
        <f>28800+5000</f>
        <v>33800</v>
      </c>
      <c r="AO246" s="64">
        <v>0</v>
      </c>
      <c r="AP246" s="64">
        <v>0</v>
      </c>
      <c r="AQ246" s="64"/>
      <c r="AR246" s="64">
        <v>0</v>
      </c>
      <c r="AS246" s="64">
        <v>0</v>
      </c>
      <c r="AT246" s="64">
        <f>195200+60000+43292</f>
        <v>298492</v>
      </c>
      <c r="AU246" s="64">
        <v>0</v>
      </c>
      <c r="AV246" s="64">
        <v>0</v>
      </c>
      <c r="AW246" s="64">
        <v>0</v>
      </c>
      <c r="AX246" s="64">
        <v>0</v>
      </c>
      <c r="AY246" s="64">
        <v>0</v>
      </c>
      <c r="AZ246" s="64">
        <v>0</v>
      </c>
      <c r="BA246" s="64">
        <f>166549+9000+41932</f>
        <v>217481</v>
      </c>
      <c r="BB246" s="63">
        <f t="shared" si="800"/>
        <v>0</v>
      </c>
      <c r="BC246" s="63">
        <f t="shared" si="801"/>
        <v>0</v>
      </c>
      <c r="BD246" s="63">
        <v>0</v>
      </c>
      <c r="BE246" s="63">
        <v>0</v>
      </c>
      <c r="BF246" s="63">
        <v>0</v>
      </c>
      <c r="BG246" s="63">
        <f t="shared" si="802"/>
        <v>0</v>
      </c>
      <c r="BH246" s="63">
        <v>0</v>
      </c>
      <c r="BI246" s="63">
        <v>0</v>
      </c>
      <c r="BJ246" s="63">
        <v>0</v>
      </c>
      <c r="BK246" s="63">
        <v>0</v>
      </c>
      <c r="BL246" s="63">
        <f t="shared" si="710"/>
        <v>0</v>
      </c>
      <c r="BM246" s="63">
        <v>0</v>
      </c>
      <c r="BN246" s="63">
        <v>0</v>
      </c>
      <c r="BO246" s="63">
        <f t="shared" si="803"/>
        <v>0</v>
      </c>
      <c r="BP246" s="63">
        <v>0</v>
      </c>
      <c r="BQ246" s="63">
        <v>0</v>
      </c>
      <c r="BR246" s="63">
        <v>0</v>
      </c>
      <c r="BS246" s="63">
        <v>0</v>
      </c>
      <c r="BT246" s="63">
        <v>0</v>
      </c>
      <c r="BU246" s="63">
        <v>0</v>
      </c>
      <c r="BV246" s="63">
        <v>0</v>
      </c>
      <c r="BW246" s="63">
        <v>0</v>
      </c>
      <c r="BX246" s="63">
        <v>0</v>
      </c>
      <c r="BY246" s="63">
        <v>0</v>
      </c>
      <c r="BZ246" s="63">
        <v>0</v>
      </c>
      <c r="CA246" s="63">
        <f t="shared" si="804"/>
        <v>607413</v>
      </c>
      <c r="CB246" s="63">
        <f t="shared" si="805"/>
        <v>607413</v>
      </c>
      <c r="CC246" s="63">
        <f t="shared" si="711"/>
        <v>607413</v>
      </c>
      <c r="CD246" s="65"/>
      <c r="CE246" s="64">
        <f>381528+119000+106885</f>
        <v>607413</v>
      </c>
      <c r="CF246" s="63">
        <f t="shared" si="806"/>
        <v>0</v>
      </c>
      <c r="CG246" s="63">
        <v>0</v>
      </c>
      <c r="CH246" s="63">
        <v>0</v>
      </c>
      <c r="CI246" s="63">
        <v>0</v>
      </c>
      <c r="CJ246" s="63">
        <v>0</v>
      </c>
      <c r="CK246" s="63">
        <v>0</v>
      </c>
      <c r="CL246" s="63">
        <f t="shared" si="807"/>
        <v>0</v>
      </c>
      <c r="CM246" s="67">
        <v>0</v>
      </c>
      <c r="CN246" s="67">
        <v>0</v>
      </c>
      <c r="CO246" s="63">
        <v>0</v>
      </c>
      <c r="CP246" s="63">
        <v>0</v>
      </c>
      <c r="CQ246" s="63">
        <v>0</v>
      </c>
      <c r="CR246" s="63"/>
      <c r="CS246" s="63"/>
      <c r="CT246" s="63">
        <v>0</v>
      </c>
      <c r="CU246" s="63"/>
      <c r="CV246" s="63"/>
      <c r="CW246" s="63"/>
      <c r="CX246" s="63">
        <f t="shared" si="712"/>
        <v>0</v>
      </c>
      <c r="CY246" s="63">
        <f t="shared" si="713"/>
        <v>0</v>
      </c>
      <c r="CZ246" s="63">
        <v>0</v>
      </c>
      <c r="DA246" s="66">
        <v>0</v>
      </c>
    </row>
    <row r="247" spans="1:105" s="87" customFormat="1" ht="31.5" x14ac:dyDescent="0.25">
      <c r="A247" s="75" t="s">
        <v>1</v>
      </c>
      <c r="B247" s="60" t="s">
        <v>86</v>
      </c>
      <c r="C247" s="61" t="s">
        <v>560</v>
      </c>
      <c r="D247" s="62">
        <f t="shared" si="795"/>
        <v>7858896</v>
      </c>
      <c r="E247" s="63">
        <f t="shared" si="796"/>
        <v>7691098</v>
      </c>
      <c r="F247" s="63">
        <f t="shared" si="797"/>
        <v>7536754</v>
      </c>
      <c r="G247" s="64">
        <f>2624972+188061</f>
        <v>2813033</v>
      </c>
      <c r="H247" s="64">
        <f>657478+47016</f>
        <v>704494</v>
      </c>
      <c r="I247" s="63">
        <f t="shared" si="707"/>
        <v>2108646</v>
      </c>
      <c r="J247" s="64">
        <v>0</v>
      </c>
      <c r="K247" s="64">
        <v>0</v>
      </c>
      <c r="L247" s="64">
        <f>804084+87779</f>
        <v>891863</v>
      </c>
      <c r="M247" s="64">
        <v>0</v>
      </c>
      <c r="N247" s="64">
        <f>620538+32500</f>
        <v>653038</v>
      </c>
      <c r="O247" s="64">
        <f>422635+141110</f>
        <v>563745</v>
      </c>
      <c r="P247" s="63">
        <f t="shared" si="708"/>
        <v>12409</v>
      </c>
      <c r="Q247" s="64">
        <v>12409</v>
      </c>
      <c r="R247" s="64">
        <v>0</v>
      </c>
      <c r="S247" s="64">
        <v>0</v>
      </c>
      <c r="T247" s="64">
        <f>50368+3463</f>
        <v>53831</v>
      </c>
      <c r="U247" s="63">
        <f t="shared" si="798"/>
        <v>1194530</v>
      </c>
      <c r="V247" s="64">
        <f>64400+5700</f>
        <v>70100</v>
      </c>
      <c r="W247" s="64">
        <f>461711+167450</f>
        <v>629161</v>
      </c>
      <c r="X247" s="64">
        <f>234827+31807</f>
        <v>266634</v>
      </c>
      <c r="Y247" s="64">
        <f>162329+10200</f>
        <v>172529</v>
      </c>
      <c r="Z247" s="64">
        <f>44106+12000</f>
        <v>56106</v>
      </c>
      <c r="AA247" s="64">
        <v>0</v>
      </c>
      <c r="AB247" s="64">
        <v>0</v>
      </c>
      <c r="AC247" s="64">
        <v>0</v>
      </c>
      <c r="AD247" s="65">
        <v>0</v>
      </c>
      <c r="AE247" s="63">
        <f t="shared" si="799"/>
        <v>649811</v>
      </c>
      <c r="AF247" s="65">
        <v>0</v>
      </c>
      <c r="AG247" s="65">
        <v>0</v>
      </c>
      <c r="AH247" s="67">
        <f>58020+4000</f>
        <v>62020</v>
      </c>
      <c r="AI247" s="67">
        <f>106916+178833</f>
        <v>285749</v>
      </c>
      <c r="AJ247" s="67">
        <v>0</v>
      </c>
      <c r="AK247" s="67">
        <f>0+17350</f>
        <v>17350</v>
      </c>
      <c r="AL247" s="67">
        <v>0</v>
      </c>
      <c r="AM247" s="67">
        <v>0</v>
      </c>
      <c r="AN247" s="67">
        <f>46312+20490</f>
        <v>66802</v>
      </c>
      <c r="AO247" s="67">
        <v>0</v>
      </c>
      <c r="AP247" s="67">
        <v>0</v>
      </c>
      <c r="AQ247" s="67"/>
      <c r="AR247" s="67">
        <v>0</v>
      </c>
      <c r="AS247" s="67">
        <v>0</v>
      </c>
      <c r="AT247" s="67">
        <f>30000+51600</f>
        <v>81600</v>
      </c>
      <c r="AU247" s="67">
        <v>0</v>
      </c>
      <c r="AV247" s="67">
        <v>0</v>
      </c>
      <c r="AW247" s="67">
        <v>0</v>
      </c>
      <c r="AX247" s="67">
        <v>0</v>
      </c>
      <c r="AY247" s="67">
        <v>0</v>
      </c>
      <c r="AZ247" s="67">
        <v>0</v>
      </c>
      <c r="BA247" s="67">
        <f>112197+24093</f>
        <v>136290</v>
      </c>
      <c r="BB247" s="63">
        <f t="shared" si="800"/>
        <v>154344</v>
      </c>
      <c r="BC247" s="63">
        <f t="shared" si="801"/>
        <v>0</v>
      </c>
      <c r="BD247" s="63">
        <v>0</v>
      </c>
      <c r="BE247" s="63">
        <v>0</v>
      </c>
      <c r="BF247" s="63">
        <v>0</v>
      </c>
      <c r="BG247" s="63">
        <f t="shared" si="802"/>
        <v>0</v>
      </c>
      <c r="BH247" s="63">
        <v>0</v>
      </c>
      <c r="BI247" s="63">
        <v>0</v>
      </c>
      <c r="BJ247" s="63">
        <v>0</v>
      </c>
      <c r="BK247" s="63">
        <v>0</v>
      </c>
      <c r="BL247" s="63">
        <f t="shared" si="710"/>
        <v>0</v>
      </c>
      <c r="BM247" s="63">
        <v>0</v>
      </c>
      <c r="BN247" s="63">
        <v>0</v>
      </c>
      <c r="BO247" s="63">
        <f t="shared" si="803"/>
        <v>154344</v>
      </c>
      <c r="BP247" s="63">
        <v>0</v>
      </c>
      <c r="BQ247" s="63">
        <v>0</v>
      </c>
      <c r="BR247" s="63">
        <v>0</v>
      </c>
      <c r="BS247" s="63">
        <v>0</v>
      </c>
      <c r="BT247" s="63">
        <v>0</v>
      </c>
      <c r="BU247" s="63">
        <v>0</v>
      </c>
      <c r="BV247" s="63">
        <v>0</v>
      </c>
      <c r="BW247" s="63">
        <v>0</v>
      </c>
      <c r="BX247" s="63">
        <v>0</v>
      </c>
      <c r="BY247" s="63">
        <v>0</v>
      </c>
      <c r="BZ247" s="63">
        <v>154344</v>
      </c>
      <c r="CA247" s="63">
        <f t="shared" si="804"/>
        <v>167798</v>
      </c>
      <c r="CB247" s="63">
        <f t="shared" si="805"/>
        <v>167798</v>
      </c>
      <c r="CC247" s="63">
        <f t="shared" si="711"/>
        <v>167798</v>
      </c>
      <c r="CD247" s="64">
        <v>0</v>
      </c>
      <c r="CE247" s="64">
        <f>147000+20798</f>
        <v>167798</v>
      </c>
      <c r="CF247" s="63">
        <f t="shared" si="806"/>
        <v>0</v>
      </c>
      <c r="CG247" s="64">
        <v>0</v>
      </c>
      <c r="CH247" s="64">
        <v>0</v>
      </c>
      <c r="CI247" s="64">
        <v>0</v>
      </c>
      <c r="CJ247" s="64">
        <v>0</v>
      </c>
      <c r="CK247" s="64">
        <v>0</v>
      </c>
      <c r="CL247" s="63">
        <f t="shared" si="807"/>
        <v>0</v>
      </c>
      <c r="CM247" s="64">
        <v>0</v>
      </c>
      <c r="CN247" s="64"/>
      <c r="CO247" s="64"/>
      <c r="CP247" s="64">
        <v>0</v>
      </c>
      <c r="CQ247" s="64">
        <v>0</v>
      </c>
      <c r="CR247" s="64"/>
      <c r="CS247" s="64"/>
      <c r="CT247" s="63">
        <v>0</v>
      </c>
      <c r="CU247" s="63"/>
      <c r="CV247" s="63"/>
      <c r="CW247" s="63"/>
      <c r="CX247" s="63">
        <f t="shared" si="712"/>
        <v>0</v>
      </c>
      <c r="CY247" s="63">
        <f t="shared" si="713"/>
        <v>0</v>
      </c>
      <c r="CZ247" s="63">
        <v>0</v>
      </c>
      <c r="DA247" s="66">
        <v>0</v>
      </c>
    </row>
    <row r="248" spans="1:105" s="87" customFormat="1" ht="31.5" x14ac:dyDescent="0.25">
      <c r="A248" s="75" t="s">
        <v>1</v>
      </c>
      <c r="B248" s="60" t="s">
        <v>88</v>
      </c>
      <c r="C248" s="61" t="s">
        <v>562</v>
      </c>
      <c r="D248" s="62">
        <f t="shared" si="795"/>
        <v>796730</v>
      </c>
      <c r="E248" s="63">
        <f t="shared" si="796"/>
        <v>796730</v>
      </c>
      <c r="F248" s="63">
        <f t="shared" si="797"/>
        <v>796730</v>
      </c>
      <c r="G248" s="64">
        <v>0</v>
      </c>
      <c r="H248" s="64">
        <v>0</v>
      </c>
      <c r="I248" s="63">
        <f t="shared" si="707"/>
        <v>3188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3188</v>
      </c>
      <c r="P248" s="63">
        <f t="shared" si="708"/>
        <v>0</v>
      </c>
      <c r="Q248" s="64">
        <v>0</v>
      </c>
      <c r="R248" s="64">
        <v>0</v>
      </c>
      <c r="S248" s="64">
        <v>0</v>
      </c>
      <c r="T248" s="64">
        <v>0</v>
      </c>
      <c r="U248" s="63">
        <f t="shared" si="798"/>
        <v>0</v>
      </c>
      <c r="V248" s="64">
        <v>0</v>
      </c>
      <c r="W248" s="64">
        <v>0</v>
      </c>
      <c r="X248" s="64">
        <v>0</v>
      </c>
      <c r="Y248" s="64">
        <v>0</v>
      </c>
      <c r="Z248" s="64">
        <v>0</v>
      </c>
      <c r="AA248" s="64">
        <v>0</v>
      </c>
      <c r="AB248" s="64">
        <v>0</v>
      </c>
      <c r="AC248" s="64">
        <v>0</v>
      </c>
      <c r="AD248" s="65">
        <v>0</v>
      </c>
      <c r="AE248" s="63">
        <f t="shared" si="799"/>
        <v>793542</v>
      </c>
      <c r="AF248" s="65">
        <v>0</v>
      </c>
      <c r="AG248" s="65">
        <v>0</v>
      </c>
      <c r="AH248" s="67">
        <v>0</v>
      </c>
      <c r="AI248" s="67">
        <v>0</v>
      </c>
      <c r="AJ248" s="67">
        <v>0</v>
      </c>
      <c r="AK248" s="67">
        <v>0</v>
      </c>
      <c r="AL248" s="67">
        <v>0</v>
      </c>
      <c r="AM248" s="67">
        <v>3188</v>
      </c>
      <c r="AN248" s="67">
        <f>664924+125270</f>
        <v>790194</v>
      </c>
      <c r="AO248" s="67">
        <v>0</v>
      </c>
      <c r="AP248" s="67">
        <v>0</v>
      </c>
      <c r="AQ248" s="67"/>
      <c r="AR248" s="67">
        <v>0</v>
      </c>
      <c r="AS248" s="67">
        <v>0</v>
      </c>
      <c r="AT248" s="67">
        <v>160</v>
      </c>
      <c r="AU248" s="67">
        <v>0</v>
      </c>
      <c r="AV248" s="67">
        <v>0</v>
      </c>
      <c r="AW248" s="67">
        <v>0</v>
      </c>
      <c r="AX248" s="67">
        <v>0</v>
      </c>
      <c r="AY248" s="67">
        <v>0</v>
      </c>
      <c r="AZ248" s="67">
        <v>0</v>
      </c>
      <c r="BA248" s="67">
        <v>0</v>
      </c>
      <c r="BB248" s="63">
        <f t="shared" si="800"/>
        <v>0</v>
      </c>
      <c r="BC248" s="63">
        <f t="shared" si="801"/>
        <v>0</v>
      </c>
      <c r="BD248" s="63">
        <v>0</v>
      </c>
      <c r="BE248" s="63">
        <v>0</v>
      </c>
      <c r="BF248" s="63">
        <v>0</v>
      </c>
      <c r="BG248" s="63">
        <f t="shared" si="802"/>
        <v>0</v>
      </c>
      <c r="BH248" s="63">
        <v>0</v>
      </c>
      <c r="BI248" s="63">
        <v>0</v>
      </c>
      <c r="BJ248" s="63">
        <v>0</v>
      </c>
      <c r="BK248" s="63">
        <v>0</v>
      </c>
      <c r="BL248" s="63">
        <f t="shared" si="710"/>
        <v>0</v>
      </c>
      <c r="BM248" s="63">
        <v>0</v>
      </c>
      <c r="BN248" s="63">
        <v>0</v>
      </c>
      <c r="BO248" s="63">
        <f t="shared" si="803"/>
        <v>0</v>
      </c>
      <c r="BP248" s="63">
        <v>0</v>
      </c>
      <c r="BQ248" s="63">
        <v>0</v>
      </c>
      <c r="BR248" s="63">
        <v>0</v>
      </c>
      <c r="BS248" s="63">
        <v>0</v>
      </c>
      <c r="BT248" s="63">
        <v>0</v>
      </c>
      <c r="BU248" s="63">
        <v>0</v>
      </c>
      <c r="BV248" s="63">
        <v>0</v>
      </c>
      <c r="BW248" s="63">
        <v>0</v>
      </c>
      <c r="BX248" s="63">
        <v>0</v>
      </c>
      <c r="BY248" s="63">
        <v>0</v>
      </c>
      <c r="BZ248" s="63">
        <v>0</v>
      </c>
      <c r="CA248" s="63">
        <f t="shared" si="804"/>
        <v>0</v>
      </c>
      <c r="CB248" s="63">
        <f t="shared" si="805"/>
        <v>0</v>
      </c>
      <c r="CC248" s="63">
        <f t="shared" si="711"/>
        <v>0</v>
      </c>
      <c r="CD248" s="64">
        <v>0</v>
      </c>
      <c r="CE248" s="64">
        <v>0</v>
      </c>
      <c r="CF248" s="63">
        <f t="shared" si="806"/>
        <v>0</v>
      </c>
      <c r="CG248" s="64">
        <v>0</v>
      </c>
      <c r="CH248" s="64">
        <v>0</v>
      </c>
      <c r="CI248" s="64">
        <v>0</v>
      </c>
      <c r="CJ248" s="64">
        <v>0</v>
      </c>
      <c r="CK248" s="64">
        <v>0</v>
      </c>
      <c r="CL248" s="63">
        <f t="shared" si="807"/>
        <v>0</v>
      </c>
      <c r="CM248" s="64">
        <v>0</v>
      </c>
      <c r="CN248" s="64"/>
      <c r="CO248" s="64"/>
      <c r="CP248" s="64">
        <v>0</v>
      </c>
      <c r="CQ248" s="64">
        <v>0</v>
      </c>
      <c r="CR248" s="64"/>
      <c r="CS248" s="64"/>
      <c r="CT248" s="63">
        <v>0</v>
      </c>
      <c r="CU248" s="63"/>
      <c r="CV248" s="63"/>
      <c r="CW248" s="63"/>
      <c r="CX248" s="63">
        <f t="shared" si="712"/>
        <v>0</v>
      </c>
      <c r="CY248" s="63">
        <f t="shared" si="713"/>
        <v>0</v>
      </c>
      <c r="CZ248" s="63">
        <v>0</v>
      </c>
      <c r="DA248" s="66">
        <v>0</v>
      </c>
    </row>
    <row r="249" spans="1:105" s="87" customFormat="1" ht="15.75" x14ac:dyDescent="0.25">
      <c r="A249" s="75" t="s">
        <v>1</v>
      </c>
      <c r="B249" s="60" t="s">
        <v>153</v>
      </c>
      <c r="C249" s="61" t="s">
        <v>561</v>
      </c>
      <c r="D249" s="62">
        <f t="shared" si="795"/>
        <v>57819067</v>
      </c>
      <c r="E249" s="63">
        <f t="shared" si="796"/>
        <v>51457912</v>
      </c>
      <c r="F249" s="63">
        <f t="shared" si="797"/>
        <v>51432304</v>
      </c>
      <c r="G249" s="64">
        <v>32339470</v>
      </c>
      <c r="H249" s="64">
        <f>2759329+5769</f>
        <v>2765098</v>
      </c>
      <c r="I249" s="63">
        <f t="shared" si="707"/>
        <v>11096850</v>
      </c>
      <c r="J249" s="64">
        <v>33583</v>
      </c>
      <c r="K249" s="64">
        <f>1010398+260000</f>
        <v>1270398</v>
      </c>
      <c r="L249" s="64">
        <v>0</v>
      </c>
      <c r="M249" s="64">
        <v>0</v>
      </c>
      <c r="N249" s="64">
        <f>2822823+500000+800000</f>
        <v>4122823</v>
      </c>
      <c r="O249" s="64">
        <f>3968482+1501564+200000</f>
        <v>5670046</v>
      </c>
      <c r="P249" s="63">
        <f t="shared" si="708"/>
        <v>85000</v>
      </c>
      <c r="Q249" s="64">
        <v>18000</v>
      </c>
      <c r="R249" s="64">
        <v>67000</v>
      </c>
      <c r="S249" s="64">
        <v>0</v>
      </c>
      <c r="T249" s="64">
        <v>323689</v>
      </c>
      <c r="U249" s="63">
        <f t="shared" si="798"/>
        <v>662692</v>
      </c>
      <c r="V249" s="64">
        <f>118517+60000</f>
        <v>178517</v>
      </c>
      <c r="W249" s="64">
        <f>129658+3135+40381</f>
        <v>173174</v>
      </c>
      <c r="X249" s="64">
        <f>123216+3294</f>
        <v>126510</v>
      </c>
      <c r="Y249" s="64">
        <f>108885+209+4766</f>
        <v>113860</v>
      </c>
      <c r="Z249" s="64">
        <f>34381+5000</f>
        <v>39381</v>
      </c>
      <c r="AA249" s="64">
        <f>16640+5000</f>
        <v>21640</v>
      </c>
      <c r="AB249" s="64">
        <v>0</v>
      </c>
      <c r="AC249" s="64">
        <f>8030+1580</f>
        <v>9610</v>
      </c>
      <c r="AD249" s="65">
        <v>0</v>
      </c>
      <c r="AE249" s="63">
        <f t="shared" si="799"/>
        <v>4159505</v>
      </c>
      <c r="AF249" s="65">
        <v>0</v>
      </c>
      <c r="AG249" s="65">
        <v>0</v>
      </c>
      <c r="AH249" s="67">
        <f>191156+12000</f>
        <v>203156</v>
      </c>
      <c r="AI249" s="67">
        <f>1206792+200000-21</f>
        <v>1406771</v>
      </c>
      <c r="AJ249" s="67">
        <v>14000</v>
      </c>
      <c r="AK249" s="67">
        <v>44268</v>
      </c>
      <c r="AL249" s="67">
        <v>0</v>
      </c>
      <c r="AM249" s="67">
        <f>23906+2000</f>
        <v>25906</v>
      </c>
      <c r="AN249" s="67">
        <v>7882</v>
      </c>
      <c r="AO249" s="67">
        <v>0</v>
      </c>
      <c r="AP249" s="67">
        <v>0</v>
      </c>
      <c r="AQ249" s="67"/>
      <c r="AR249" s="67">
        <f>184726+100000</f>
        <v>284726</v>
      </c>
      <c r="AS249" s="67">
        <v>0</v>
      </c>
      <c r="AT249" s="67">
        <f>119700+17500</f>
        <v>137200</v>
      </c>
      <c r="AU249" s="67">
        <v>0</v>
      </c>
      <c r="AV249" s="67">
        <v>0</v>
      </c>
      <c r="AW249" s="67">
        <v>0</v>
      </c>
      <c r="AX249" s="67">
        <v>1267682</v>
      </c>
      <c r="AY249" s="67">
        <v>170959</v>
      </c>
      <c r="AZ249" s="67">
        <v>0</v>
      </c>
      <c r="BA249" s="67">
        <f>485361+111594</f>
        <v>596955</v>
      </c>
      <c r="BB249" s="63">
        <f t="shared" si="800"/>
        <v>25608</v>
      </c>
      <c r="BC249" s="63">
        <f t="shared" si="801"/>
        <v>0</v>
      </c>
      <c r="BD249" s="63">
        <v>0</v>
      </c>
      <c r="BE249" s="63">
        <v>0</v>
      </c>
      <c r="BF249" s="63">
        <v>0</v>
      </c>
      <c r="BG249" s="63">
        <f t="shared" si="802"/>
        <v>0</v>
      </c>
      <c r="BH249" s="63">
        <v>0</v>
      </c>
      <c r="BI249" s="63">
        <v>0</v>
      </c>
      <c r="BJ249" s="63">
        <v>0</v>
      </c>
      <c r="BK249" s="63">
        <v>0</v>
      </c>
      <c r="BL249" s="63">
        <f t="shared" si="710"/>
        <v>0</v>
      </c>
      <c r="BM249" s="63">
        <v>0</v>
      </c>
      <c r="BN249" s="63">
        <v>0</v>
      </c>
      <c r="BO249" s="63">
        <f t="shared" si="803"/>
        <v>25608</v>
      </c>
      <c r="BP249" s="63">
        <v>0</v>
      </c>
      <c r="BQ249" s="63">
        <v>0</v>
      </c>
      <c r="BR249" s="63">
        <v>0</v>
      </c>
      <c r="BS249" s="63">
        <v>0</v>
      </c>
      <c r="BT249" s="63">
        <v>0</v>
      </c>
      <c r="BU249" s="63">
        <v>0</v>
      </c>
      <c r="BV249" s="63">
        <v>0</v>
      </c>
      <c r="BW249" s="63">
        <v>0</v>
      </c>
      <c r="BX249" s="63">
        <v>0</v>
      </c>
      <c r="BY249" s="63">
        <v>25608</v>
      </c>
      <c r="BZ249" s="63">
        <v>0</v>
      </c>
      <c r="CA249" s="63">
        <f t="shared" si="804"/>
        <v>6361155</v>
      </c>
      <c r="CB249" s="63">
        <f t="shared" si="805"/>
        <v>6361155</v>
      </c>
      <c r="CC249" s="63">
        <f t="shared" si="711"/>
        <v>3782461</v>
      </c>
      <c r="CD249" s="64">
        <v>0</v>
      </c>
      <c r="CE249" s="64">
        <f>2087341+2745120-1050000</f>
        <v>3782461</v>
      </c>
      <c r="CF249" s="63">
        <f t="shared" si="806"/>
        <v>0</v>
      </c>
      <c r="CG249" s="64">
        <v>0</v>
      </c>
      <c r="CH249" s="64">
        <v>0</v>
      </c>
      <c r="CI249" s="64"/>
      <c r="CJ249" s="64"/>
      <c r="CK249" s="64"/>
      <c r="CL249" s="63">
        <f t="shared" si="807"/>
        <v>2578694</v>
      </c>
      <c r="CM249" s="64">
        <v>0</v>
      </c>
      <c r="CN249" s="64"/>
      <c r="CO249" s="64">
        <f>300000+2278694</f>
        <v>2578694</v>
      </c>
      <c r="CP249" s="64">
        <v>0</v>
      </c>
      <c r="CQ249" s="64">
        <v>0</v>
      </c>
      <c r="CR249" s="64"/>
      <c r="CS249" s="64"/>
      <c r="CT249" s="63">
        <v>0</v>
      </c>
      <c r="CU249" s="63"/>
      <c r="CV249" s="63"/>
      <c r="CW249" s="63"/>
      <c r="CX249" s="63">
        <f t="shared" si="712"/>
        <v>0</v>
      </c>
      <c r="CY249" s="63">
        <f t="shared" si="713"/>
        <v>0</v>
      </c>
      <c r="CZ249" s="63">
        <v>0</v>
      </c>
      <c r="DA249" s="66">
        <v>0</v>
      </c>
    </row>
    <row r="250" spans="1:105" s="87" customFormat="1" ht="31.5" x14ac:dyDescent="0.25">
      <c r="A250" s="75" t="s">
        <v>1</v>
      </c>
      <c r="B250" s="60" t="s">
        <v>92</v>
      </c>
      <c r="C250" s="61" t="s">
        <v>563</v>
      </c>
      <c r="D250" s="62">
        <f t="shared" si="795"/>
        <v>554715</v>
      </c>
      <c r="E250" s="63">
        <f t="shared" si="796"/>
        <v>441015</v>
      </c>
      <c r="F250" s="63">
        <f t="shared" si="797"/>
        <v>441015</v>
      </c>
      <c r="G250" s="64">
        <f>424455-344455</f>
        <v>80000</v>
      </c>
      <c r="H250" s="64">
        <f>106114-86114</f>
        <v>20000</v>
      </c>
      <c r="I250" s="63">
        <f>SUM(J250:O250)</f>
        <v>146644</v>
      </c>
      <c r="J250" s="64">
        <v>0</v>
      </c>
      <c r="K250" s="64">
        <v>0</v>
      </c>
      <c r="L250" s="64">
        <v>0</v>
      </c>
      <c r="M250" s="64">
        <v>0</v>
      </c>
      <c r="N250" s="64">
        <f>462000-446796</f>
        <v>15204</v>
      </c>
      <c r="O250" s="64">
        <f>289702+36587-191149-8700+5000</f>
        <v>131440</v>
      </c>
      <c r="P250" s="63">
        <f>SUM(Q250:R250)</f>
        <v>0</v>
      </c>
      <c r="Q250" s="64">
        <v>0</v>
      </c>
      <c r="R250" s="64">
        <f>25000-25000</f>
        <v>0</v>
      </c>
      <c r="S250" s="64">
        <f>50000-50000</f>
        <v>0</v>
      </c>
      <c r="T250" s="64">
        <f>35120-33860</f>
        <v>1260</v>
      </c>
      <c r="U250" s="63">
        <f t="shared" si="798"/>
        <v>8756</v>
      </c>
      <c r="V250" s="64">
        <v>0</v>
      </c>
      <c r="W250" s="64">
        <v>0</v>
      </c>
      <c r="X250" s="64">
        <v>0</v>
      </c>
      <c r="Y250" s="64">
        <f>0+2342-2342</f>
        <v>0</v>
      </c>
      <c r="Z250" s="64">
        <f>23200-19444</f>
        <v>3756</v>
      </c>
      <c r="AA250" s="64">
        <f>5000+5000-5000</f>
        <v>5000</v>
      </c>
      <c r="AB250" s="64">
        <v>0</v>
      </c>
      <c r="AC250" s="64">
        <v>0</v>
      </c>
      <c r="AD250" s="65">
        <v>0</v>
      </c>
      <c r="AE250" s="63">
        <f t="shared" si="799"/>
        <v>184355</v>
      </c>
      <c r="AF250" s="64">
        <f>556001-479745</f>
        <v>76256</v>
      </c>
      <c r="AG250" s="65">
        <v>0</v>
      </c>
      <c r="AH250" s="67">
        <f>19000-13034</f>
        <v>5966</v>
      </c>
      <c r="AI250" s="67">
        <f>15200-15200</f>
        <v>0</v>
      </c>
      <c r="AJ250" s="67">
        <v>0</v>
      </c>
      <c r="AK250" s="67">
        <f>10267-10267</f>
        <v>0</v>
      </c>
      <c r="AL250" s="67">
        <v>0</v>
      </c>
      <c r="AM250" s="67">
        <f>8900-7480</f>
        <v>1420</v>
      </c>
      <c r="AN250" s="67">
        <f>29500-29500</f>
        <v>0</v>
      </c>
      <c r="AO250" s="67">
        <v>0</v>
      </c>
      <c r="AP250" s="67">
        <v>0</v>
      </c>
      <c r="AQ250" s="67"/>
      <c r="AR250" s="67">
        <v>0</v>
      </c>
      <c r="AS250" s="67">
        <v>0</v>
      </c>
      <c r="AT250" s="67">
        <v>5000</v>
      </c>
      <c r="AU250" s="67">
        <v>0</v>
      </c>
      <c r="AV250" s="67">
        <v>0</v>
      </c>
      <c r="AW250" s="67">
        <v>0</v>
      </c>
      <c r="AX250" s="67">
        <v>0</v>
      </c>
      <c r="AY250" s="67">
        <f>237601-217781</f>
        <v>19820</v>
      </c>
      <c r="AZ250" s="67">
        <v>0</v>
      </c>
      <c r="BA250" s="67">
        <f>188398-112505</f>
        <v>75893</v>
      </c>
      <c r="BB250" s="63">
        <f t="shared" si="800"/>
        <v>0</v>
      </c>
      <c r="BC250" s="63">
        <f t="shared" si="801"/>
        <v>0</v>
      </c>
      <c r="BD250" s="63">
        <v>0</v>
      </c>
      <c r="BE250" s="63">
        <v>0</v>
      </c>
      <c r="BF250" s="63">
        <v>0</v>
      </c>
      <c r="BG250" s="63">
        <f t="shared" si="802"/>
        <v>0</v>
      </c>
      <c r="BH250" s="63">
        <v>0</v>
      </c>
      <c r="BI250" s="63">
        <v>0</v>
      </c>
      <c r="BJ250" s="63">
        <v>0</v>
      </c>
      <c r="BK250" s="63">
        <v>0</v>
      </c>
      <c r="BL250" s="63">
        <f>SUM(BM250)</f>
        <v>0</v>
      </c>
      <c r="BM250" s="63">
        <v>0</v>
      </c>
      <c r="BN250" s="63">
        <v>0</v>
      </c>
      <c r="BO250" s="63">
        <f t="shared" si="803"/>
        <v>0</v>
      </c>
      <c r="BP250" s="63">
        <v>0</v>
      </c>
      <c r="BQ250" s="63">
        <v>0</v>
      </c>
      <c r="BR250" s="63">
        <v>0</v>
      </c>
      <c r="BS250" s="63">
        <v>0</v>
      </c>
      <c r="BT250" s="63">
        <v>0</v>
      </c>
      <c r="BU250" s="63">
        <v>0</v>
      </c>
      <c r="BV250" s="63">
        <v>0</v>
      </c>
      <c r="BW250" s="63">
        <v>0</v>
      </c>
      <c r="BX250" s="63">
        <v>0</v>
      </c>
      <c r="BY250" s="63">
        <v>0</v>
      </c>
      <c r="BZ250" s="63">
        <v>0</v>
      </c>
      <c r="CA250" s="63">
        <f t="shared" si="804"/>
        <v>113700</v>
      </c>
      <c r="CB250" s="63">
        <f t="shared" si="805"/>
        <v>113700</v>
      </c>
      <c r="CC250" s="63">
        <f>SUM(CD250:CE250)</f>
        <v>113700</v>
      </c>
      <c r="CD250" s="64">
        <v>0</v>
      </c>
      <c r="CE250" s="64">
        <f>330000+80000-296300</f>
        <v>113700</v>
      </c>
      <c r="CF250" s="63">
        <f t="shared" si="806"/>
        <v>0</v>
      </c>
      <c r="CG250" s="64">
        <v>0</v>
      </c>
      <c r="CH250" s="64">
        <v>0</v>
      </c>
      <c r="CI250" s="64">
        <v>0</v>
      </c>
      <c r="CJ250" s="64">
        <v>0</v>
      </c>
      <c r="CK250" s="64">
        <v>0</v>
      </c>
      <c r="CL250" s="63">
        <f t="shared" si="807"/>
        <v>0</v>
      </c>
      <c r="CM250" s="64">
        <v>0</v>
      </c>
      <c r="CN250" s="64">
        <f>300000-300000</f>
        <v>0</v>
      </c>
      <c r="CO250" s="64"/>
      <c r="CP250" s="64">
        <v>0</v>
      </c>
      <c r="CQ250" s="64">
        <v>0</v>
      </c>
      <c r="CR250" s="64"/>
      <c r="CS250" s="64"/>
      <c r="CT250" s="63">
        <v>0</v>
      </c>
      <c r="CU250" s="63"/>
      <c r="CV250" s="63"/>
      <c r="CW250" s="63"/>
      <c r="CX250" s="63">
        <f>SUM(CY250)</f>
        <v>0</v>
      </c>
      <c r="CY250" s="63">
        <f>SUM(CZ250:DA250)</f>
        <v>0</v>
      </c>
      <c r="CZ250" s="63">
        <v>0</v>
      </c>
      <c r="DA250" s="66">
        <v>0</v>
      </c>
    </row>
    <row r="251" spans="1:105" s="87" customFormat="1" ht="31.5" x14ac:dyDescent="0.25">
      <c r="A251" s="75" t="s">
        <v>1</v>
      </c>
      <c r="B251" s="60" t="s">
        <v>92</v>
      </c>
      <c r="C251" s="61" t="s">
        <v>564</v>
      </c>
      <c r="D251" s="62">
        <f t="shared" si="795"/>
        <v>23986931</v>
      </c>
      <c r="E251" s="63">
        <f t="shared" si="796"/>
        <v>21190227</v>
      </c>
      <c r="F251" s="63">
        <f t="shared" si="797"/>
        <v>21190227</v>
      </c>
      <c r="G251" s="64">
        <f>9877553+400000</f>
        <v>10277553</v>
      </c>
      <c r="H251" s="64">
        <f>2416760+200000</f>
        <v>2616760</v>
      </c>
      <c r="I251" s="63">
        <f t="shared" si="707"/>
        <v>4458577</v>
      </c>
      <c r="J251" s="64">
        <f>1513471+300000</f>
        <v>1813471</v>
      </c>
      <c r="K251" s="64">
        <v>50000</v>
      </c>
      <c r="L251" s="64">
        <v>5000</v>
      </c>
      <c r="M251" s="64">
        <v>0</v>
      </c>
      <c r="N251" s="64">
        <f>1072042+200000</f>
        <v>1272042</v>
      </c>
      <c r="O251" s="64">
        <f>1016125+301459+480</f>
        <v>1318064</v>
      </c>
      <c r="P251" s="63">
        <f t="shared" si="708"/>
        <v>70963</v>
      </c>
      <c r="Q251" s="64">
        <v>400</v>
      </c>
      <c r="R251" s="64">
        <v>70563</v>
      </c>
      <c r="S251" s="64">
        <v>50000</v>
      </c>
      <c r="T251" s="64">
        <v>210227</v>
      </c>
      <c r="U251" s="63">
        <f t="shared" si="798"/>
        <v>346049</v>
      </c>
      <c r="V251" s="64">
        <f>20000+10000</f>
        <v>30000</v>
      </c>
      <c r="W251" s="64">
        <f>81947+10000-350</f>
        <v>91597</v>
      </c>
      <c r="X251" s="64">
        <f>113632+10000</f>
        <v>123632</v>
      </c>
      <c r="Y251" s="64">
        <f>14246+10000</f>
        <v>24246</v>
      </c>
      <c r="Z251" s="64">
        <f>20000+10000</f>
        <v>30000</v>
      </c>
      <c r="AA251" s="64">
        <f>15000+10000</f>
        <v>25000</v>
      </c>
      <c r="AB251" s="64">
        <v>0</v>
      </c>
      <c r="AC251" s="64">
        <f>11704+10000-130</f>
        <v>21574</v>
      </c>
      <c r="AD251" s="65">
        <v>0</v>
      </c>
      <c r="AE251" s="63">
        <f t="shared" si="799"/>
        <v>3160098</v>
      </c>
      <c r="AF251" s="65">
        <v>0</v>
      </c>
      <c r="AG251" s="65">
        <v>0</v>
      </c>
      <c r="AH251" s="67">
        <f>371204+50000</f>
        <v>421204</v>
      </c>
      <c r="AI251" s="67">
        <f>1000487+500000</f>
        <v>1500487</v>
      </c>
      <c r="AJ251" s="67">
        <v>0</v>
      </c>
      <c r="AK251" s="67">
        <v>50000</v>
      </c>
      <c r="AL251" s="67">
        <v>0</v>
      </c>
      <c r="AM251" s="67">
        <v>71126</v>
      </c>
      <c r="AN251" s="67">
        <v>400000</v>
      </c>
      <c r="AO251" s="67">
        <v>0</v>
      </c>
      <c r="AP251" s="67">
        <v>10000</v>
      </c>
      <c r="AQ251" s="67"/>
      <c r="AR251" s="67">
        <v>0</v>
      </c>
      <c r="AS251" s="67">
        <v>120000</v>
      </c>
      <c r="AT251" s="67">
        <v>0</v>
      </c>
      <c r="AU251" s="67">
        <v>0</v>
      </c>
      <c r="AV251" s="67">
        <v>0</v>
      </c>
      <c r="AW251" s="67">
        <v>0</v>
      </c>
      <c r="AX251" s="67">
        <v>0</v>
      </c>
      <c r="AY251" s="67">
        <v>0</v>
      </c>
      <c r="AZ251" s="67">
        <v>0</v>
      </c>
      <c r="BA251" s="67">
        <f>350679+236602</f>
        <v>587281</v>
      </c>
      <c r="BB251" s="63">
        <f t="shared" si="800"/>
        <v>0</v>
      </c>
      <c r="BC251" s="63">
        <f t="shared" si="801"/>
        <v>0</v>
      </c>
      <c r="BD251" s="63">
        <v>0</v>
      </c>
      <c r="BE251" s="63">
        <v>0</v>
      </c>
      <c r="BF251" s="63">
        <v>0</v>
      </c>
      <c r="BG251" s="63">
        <f t="shared" si="802"/>
        <v>0</v>
      </c>
      <c r="BH251" s="63">
        <v>0</v>
      </c>
      <c r="BI251" s="63">
        <v>0</v>
      </c>
      <c r="BJ251" s="63">
        <v>0</v>
      </c>
      <c r="BK251" s="63">
        <v>0</v>
      </c>
      <c r="BL251" s="63">
        <f t="shared" si="710"/>
        <v>0</v>
      </c>
      <c r="BM251" s="63">
        <v>0</v>
      </c>
      <c r="BN251" s="63">
        <v>0</v>
      </c>
      <c r="BO251" s="63">
        <f t="shared" si="803"/>
        <v>0</v>
      </c>
      <c r="BP251" s="63">
        <v>0</v>
      </c>
      <c r="BQ251" s="63">
        <v>0</v>
      </c>
      <c r="BR251" s="63">
        <v>0</v>
      </c>
      <c r="BS251" s="63">
        <v>0</v>
      </c>
      <c r="BT251" s="63">
        <v>0</v>
      </c>
      <c r="BU251" s="63">
        <v>0</v>
      </c>
      <c r="BV251" s="63">
        <v>0</v>
      </c>
      <c r="BW251" s="63">
        <v>0</v>
      </c>
      <c r="BX251" s="63">
        <v>0</v>
      </c>
      <c r="BY251" s="63">
        <v>0</v>
      </c>
      <c r="BZ251" s="63">
        <v>0</v>
      </c>
      <c r="CA251" s="63">
        <f t="shared" si="804"/>
        <v>2796704</v>
      </c>
      <c r="CB251" s="63">
        <f t="shared" si="805"/>
        <v>2796704</v>
      </c>
      <c r="CC251" s="63">
        <f t="shared" si="711"/>
        <v>2496704</v>
      </c>
      <c r="CD251" s="64">
        <v>0</v>
      </c>
      <c r="CE251" s="64">
        <f>1496704+1000000</f>
        <v>2496704</v>
      </c>
      <c r="CF251" s="63">
        <f t="shared" si="806"/>
        <v>0</v>
      </c>
      <c r="CG251" s="64">
        <v>0</v>
      </c>
      <c r="CH251" s="64">
        <v>0</v>
      </c>
      <c r="CI251" s="64">
        <v>0</v>
      </c>
      <c r="CJ251" s="64">
        <v>0</v>
      </c>
      <c r="CK251" s="64">
        <v>0</v>
      </c>
      <c r="CL251" s="63">
        <f t="shared" si="807"/>
        <v>300000</v>
      </c>
      <c r="CM251" s="64">
        <v>0</v>
      </c>
      <c r="CN251" s="64">
        <v>300000</v>
      </c>
      <c r="CO251" s="64"/>
      <c r="CP251" s="64">
        <v>0</v>
      </c>
      <c r="CQ251" s="64">
        <v>0</v>
      </c>
      <c r="CR251" s="64"/>
      <c r="CS251" s="64"/>
      <c r="CT251" s="63">
        <v>0</v>
      </c>
      <c r="CU251" s="63"/>
      <c r="CV251" s="63"/>
      <c r="CW251" s="63"/>
      <c r="CX251" s="63">
        <f t="shared" si="712"/>
        <v>0</v>
      </c>
      <c r="CY251" s="63">
        <f t="shared" si="713"/>
        <v>0</v>
      </c>
      <c r="CZ251" s="63">
        <v>0</v>
      </c>
      <c r="DA251" s="66">
        <v>0</v>
      </c>
    </row>
    <row r="252" spans="1:105" s="87" customFormat="1" ht="31.5" x14ac:dyDescent="0.25">
      <c r="A252" s="75" t="s">
        <v>1</v>
      </c>
      <c r="B252" s="60" t="s">
        <v>92</v>
      </c>
      <c r="C252" s="61" t="s">
        <v>565</v>
      </c>
      <c r="D252" s="62">
        <f t="shared" si="795"/>
        <v>197293</v>
      </c>
      <c r="E252" s="63">
        <f t="shared" si="796"/>
        <v>187208</v>
      </c>
      <c r="F252" s="63">
        <f t="shared" si="797"/>
        <v>176314</v>
      </c>
      <c r="G252" s="64">
        <v>30000</v>
      </c>
      <c r="H252" s="64">
        <v>7500</v>
      </c>
      <c r="I252" s="63">
        <f>SUM(J252:O252)</f>
        <v>90996</v>
      </c>
      <c r="J252" s="64">
        <v>0</v>
      </c>
      <c r="K252" s="64">
        <v>4833</v>
      </c>
      <c r="L252" s="64">
        <v>0</v>
      </c>
      <c r="M252" s="64">
        <v>0</v>
      </c>
      <c r="N252" s="64">
        <v>41735</v>
      </c>
      <c r="O252" s="64">
        <f>43046+2374-862-130</f>
        <v>44428</v>
      </c>
      <c r="P252" s="63">
        <f>SUM(Q252:R252)</f>
        <v>1236</v>
      </c>
      <c r="Q252" s="64">
        <v>1236</v>
      </c>
      <c r="R252" s="64">
        <v>0</v>
      </c>
      <c r="S252" s="64">
        <v>0</v>
      </c>
      <c r="T252" s="64">
        <v>19138</v>
      </c>
      <c r="U252" s="63">
        <f t="shared" si="798"/>
        <v>14609</v>
      </c>
      <c r="V252" s="64">
        <v>2500</v>
      </c>
      <c r="W252" s="64">
        <v>0</v>
      </c>
      <c r="X252" s="64">
        <v>0</v>
      </c>
      <c r="Y252" s="64">
        <f>4906+862</f>
        <v>5768</v>
      </c>
      <c r="Z252" s="64">
        <v>1791</v>
      </c>
      <c r="AA252" s="64">
        <v>1440</v>
      </c>
      <c r="AB252" s="64">
        <v>0</v>
      </c>
      <c r="AC252" s="64">
        <f>2980+130</f>
        <v>3110</v>
      </c>
      <c r="AD252" s="65">
        <v>0</v>
      </c>
      <c r="AE252" s="63">
        <f t="shared" si="799"/>
        <v>12835</v>
      </c>
      <c r="AF252" s="65">
        <v>0</v>
      </c>
      <c r="AG252" s="65">
        <v>0</v>
      </c>
      <c r="AH252" s="67">
        <v>668</v>
      </c>
      <c r="AI252" s="67">
        <v>0</v>
      </c>
      <c r="AJ252" s="67">
        <v>0</v>
      </c>
      <c r="AK252" s="67">
        <v>200</v>
      </c>
      <c r="AL252" s="67">
        <v>0</v>
      </c>
      <c r="AM252" s="67">
        <v>1200</v>
      </c>
      <c r="AN252" s="67">
        <v>0</v>
      </c>
      <c r="AO252" s="67">
        <v>0</v>
      </c>
      <c r="AP252" s="67">
        <v>0</v>
      </c>
      <c r="AQ252" s="67"/>
      <c r="AR252" s="67">
        <v>0</v>
      </c>
      <c r="AS252" s="67">
        <v>0</v>
      </c>
      <c r="AT252" s="67">
        <v>0</v>
      </c>
      <c r="AU252" s="67">
        <v>0</v>
      </c>
      <c r="AV252" s="67">
        <v>0</v>
      </c>
      <c r="AW252" s="67">
        <v>0</v>
      </c>
      <c r="AX252" s="67">
        <v>0</v>
      </c>
      <c r="AY252" s="67">
        <v>3705</v>
      </c>
      <c r="AZ252" s="67">
        <v>0</v>
      </c>
      <c r="BA252" s="67">
        <v>7062</v>
      </c>
      <c r="BB252" s="63">
        <f t="shared" si="800"/>
        <v>10894</v>
      </c>
      <c r="BC252" s="63">
        <f t="shared" si="801"/>
        <v>0</v>
      </c>
      <c r="BD252" s="63">
        <v>0</v>
      </c>
      <c r="BE252" s="63">
        <v>0</v>
      </c>
      <c r="BF252" s="63">
        <v>0</v>
      </c>
      <c r="BG252" s="63">
        <f t="shared" si="802"/>
        <v>0</v>
      </c>
      <c r="BH252" s="63">
        <v>0</v>
      </c>
      <c r="BI252" s="63">
        <v>0</v>
      </c>
      <c r="BJ252" s="63">
        <v>0</v>
      </c>
      <c r="BK252" s="63">
        <v>0</v>
      </c>
      <c r="BL252" s="63">
        <f>SUM(BM252)</f>
        <v>0</v>
      </c>
      <c r="BM252" s="63">
        <v>0</v>
      </c>
      <c r="BN252" s="63">
        <v>0</v>
      </c>
      <c r="BO252" s="63">
        <f t="shared" si="803"/>
        <v>10894</v>
      </c>
      <c r="BP252" s="63">
        <v>0</v>
      </c>
      <c r="BQ252" s="63">
        <v>0</v>
      </c>
      <c r="BR252" s="63">
        <v>0</v>
      </c>
      <c r="BS252" s="63">
        <v>0</v>
      </c>
      <c r="BT252" s="63">
        <v>0</v>
      </c>
      <c r="BU252" s="63">
        <v>0</v>
      </c>
      <c r="BV252" s="63">
        <v>0</v>
      </c>
      <c r="BW252" s="63">
        <v>0</v>
      </c>
      <c r="BX252" s="63">
        <v>0</v>
      </c>
      <c r="BY252" s="63">
        <v>10894</v>
      </c>
      <c r="BZ252" s="63">
        <v>0</v>
      </c>
      <c r="CA252" s="63">
        <f t="shared" si="804"/>
        <v>10085</v>
      </c>
      <c r="CB252" s="63">
        <f t="shared" si="805"/>
        <v>10085</v>
      </c>
      <c r="CC252" s="63">
        <f>SUM(CD252:CE252)</f>
        <v>10085</v>
      </c>
      <c r="CD252" s="64">
        <v>0</v>
      </c>
      <c r="CE252" s="64">
        <v>10085</v>
      </c>
      <c r="CF252" s="63">
        <f t="shared" si="806"/>
        <v>0</v>
      </c>
      <c r="CG252" s="64">
        <v>0</v>
      </c>
      <c r="CH252" s="64">
        <v>0</v>
      </c>
      <c r="CI252" s="64">
        <v>0</v>
      </c>
      <c r="CJ252" s="64">
        <v>0</v>
      </c>
      <c r="CK252" s="64">
        <v>0</v>
      </c>
      <c r="CL252" s="63">
        <f t="shared" si="807"/>
        <v>0</v>
      </c>
      <c r="CM252" s="64">
        <v>0</v>
      </c>
      <c r="CN252" s="64"/>
      <c r="CO252" s="64"/>
      <c r="CP252" s="64">
        <v>0</v>
      </c>
      <c r="CQ252" s="64">
        <v>0</v>
      </c>
      <c r="CR252" s="64"/>
      <c r="CS252" s="64"/>
      <c r="CT252" s="63">
        <v>0</v>
      </c>
      <c r="CU252" s="63"/>
      <c r="CV252" s="63"/>
      <c r="CW252" s="63"/>
      <c r="CX252" s="63">
        <f>SUM(CY252)</f>
        <v>0</v>
      </c>
      <c r="CY252" s="63">
        <f>SUM(CZ252:DA252)</f>
        <v>0</v>
      </c>
      <c r="CZ252" s="63">
        <v>0</v>
      </c>
      <c r="DA252" s="66">
        <v>0</v>
      </c>
    </row>
    <row r="253" spans="1:105" s="87" customFormat="1" ht="15.75" x14ac:dyDescent="0.25">
      <c r="A253" s="75" t="s">
        <v>1</v>
      </c>
      <c r="B253" s="60" t="s">
        <v>319</v>
      </c>
      <c r="C253" s="61" t="s">
        <v>566</v>
      </c>
      <c r="D253" s="62">
        <f t="shared" si="795"/>
        <v>3130153</v>
      </c>
      <c r="E253" s="63">
        <f t="shared" si="796"/>
        <v>3002153</v>
      </c>
      <c r="F253" s="63">
        <f t="shared" si="797"/>
        <v>3002153</v>
      </c>
      <c r="G253" s="64">
        <v>1860291</v>
      </c>
      <c r="H253" s="64">
        <v>444373</v>
      </c>
      <c r="I253" s="63">
        <f t="shared" si="707"/>
        <v>230123</v>
      </c>
      <c r="J253" s="64">
        <v>0</v>
      </c>
      <c r="K253" s="64">
        <v>0</v>
      </c>
      <c r="L253" s="64">
        <v>0</v>
      </c>
      <c r="M253" s="64">
        <v>0</v>
      </c>
      <c r="N253" s="64">
        <v>100000</v>
      </c>
      <c r="O253" s="64">
        <v>130123</v>
      </c>
      <c r="P253" s="63">
        <f t="shared" si="708"/>
        <v>0</v>
      </c>
      <c r="Q253" s="64">
        <v>0</v>
      </c>
      <c r="R253" s="64">
        <v>0</v>
      </c>
      <c r="S253" s="64">
        <v>0</v>
      </c>
      <c r="T253" s="64">
        <v>30000</v>
      </c>
      <c r="U253" s="63">
        <f t="shared" si="798"/>
        <v>82213</v>
      </c>
      <c r="V253" s="64">
        <v>0</v>
      </c>
      <c r="W253" s="64">
        <v>50346</v>
      </c>
      <c r="X253" s="64">
        <v>22182</v>
      </c>
      <c r="Y253" s="64">
        <v>3685</v>
      </c>
      <c r="Z253" s="64">
        <v>6000</v>
      </c>
      <c r="AA253" s="64">
        <v>0</v>
      </c>
      <c r="AB253" s="64">
        <v>0</v>
      </c>
      <c r="AC253" s="64">
        <v>0</v>
      </c>
      <c r="AD253" s="65">
        <v>0</v>
      </c>
      <c r="AE253" s="63">
        <f t="shared" si="799"/>
        <v>355153</v>
      </c>
      <c r="AF253" s="65">
        <v>0</v>
      </c>
      <c r="AG253" s="65">
        <v>0</v>
      </c>
      <c r="AH253" s="67">
        <f>30000+30153</f>
        <v>60153</v>
      </c>
      <c r="AI253" s="67">
        <f>20000+100000</f>
        <v>120000</v>
      </c>
      <c r="AJ253" s="67">
        <v>0</v>
      </c>
      <c r="AK253" s="67">
        <v>0</v>
      </c>
      <c r="AL253" s="67">
        <v>0</v>
      </c>
      <c r="AM253" s="67">
        <v>15000</v>
      </c>
      <c r="AN253" s="67">
        <v>0</v>
      </c>
      <c r="AO253" s="67">
        <v>0</v>
      </c>
      <c r="AP253" s="67">
        <v>0</v>
      </c>
      <c r="AQ253" s="67"/>
      <c r="AR253" s="67">
        <v>0</v>
      </c>
      <c r="AS253" s="67">
        <v>0</v>
      </c>
      <c r="AT253" s="67">
        <v>20000</v>
      </c>
      <c r="AU253" s="67">
        <v>0</v>
      </c>
      <c r="AV253" s="67">
        <v>0</v>
      </c>
      <c r="AW253" s="67">
        <v>0</v>
      </c>
      <c r="AX253" s="67">
        <v>0</v>
      </c>
      <c r="AY253" s="67">
        <v>0</v>
      </c>
      <c r="AZ253" s="67">
        <v>100000</v>
      </c>
      <c r="BA253" s="67">
        <v>40000</v>
      </c>
      <c r="BB253" s="63">
        <f t="shared" si="800"/>
        <v>0</v>
      </c>
      <c r="BC253" s="63">
        <f t="shared" si="801"/>
        <v>0</v>
      </c>
      <c r="BD253" s="63">
        <v>0</v>
      </c>
      <c r="BE253" s="63">
        <v>0</v>
      </c>
      <c r="BF253" s="63">
        <v>0</v>
      </c>
      <c r="BG253" s="63">
        <f t="shared" si="802"/>
        <v>0</v>
      </c>
      <c r="BH253" s="63">
        <v>0</v>
      </c>
      <c r="BI253" s="63">
        <v>0</v>
      </c>
      <c r="BJ253" s="63">
        <v>0</v>
      </c>
      <c r="BK253" s="63">
        <v>0</v>
      </c>
      <c r="BL253" s="63">
        <f t="shared" si="710"/>
        <v>0</v>
      </c>
      <c r="BM253" s="63">
        <v>0</v>
      </c>
      <c r="BN253" s="63">
        <v>0</v>
      </c>
      <c r="BO253" s="63">
        <f t="shared" si="803"/>
        <v>0</v>
      </c>
      <c r="BP253" s="63">
        <v>0</v>
      </c>
      <c r="BQ253" s="63">
        <v>0</v>
      </c>
      <c r="BR253" s="63">
        <v>0</v>
      </c>
      <c r="BS253" s="63">
        <v>0</v>
      </c>
      <c r="BT253" s="63">
        <v>0</v>
      </c>
      <c r="BU253" s="63">
        <v>0</v>
      </c>
      <c r="BV253" s="63">
        <v>0</v>
      </c>
      <c r="BW253" s="63">
        <v>0</v>
      </c>
      <c r="BX253" s="63">
        <v>0</v>
      </c>
      <c r="BY253" s="63">
        <v>0</v>
      </c>
      <c r="BZ253" s="63">
        <v>0</v>
      </c>
      <c r="CA253" s="63">
        <f t="shared" si="804"/>
        <v>128000</v>
      </c>
      <c r="CB253" s="63">
        <f t="shared" si="805"/>
        <v>128000</v>
      </c>
      <c r="CC253" s="63">
        <f t="shared" si="711"/>
        <v>128000</v>
      </c>
      <c r="CD253" s="64">
        <v>0</v>
      </c>
      <c r="CE253" s="64">
        <f>28000+100000</f>
        <v>128000</v>
      </c>
      <c r="CF253" s="63">
        <f t="shared" si="806"/>
        <v>0</v>
      </c>
      <c r="CG253" s="64">
        <v>0</v>
      </c>
      <c r="CH253" s="64">
        <v>0</v>
      </c>
      <c r="CI253" s="64">
        <v>0</v>
      </c>
      <c r="CJ253" s="64">
        <v>0</v>
      </c>
      <c r="CK253" s="64">
        <v>0</v>
      </c>
      <c r="CL253" s="63">
        <f t="shared" si="807"/>
        <v>0</v>
      </c>
      <c r="CM253" s="64">
        <v>0</v>
      </c>
      <c r="CN253" s="64"/>
      <c r="CO253" s="64"/>
      <c r="CP253" s="64">
        <v>0</v>
      </c>
      <c r="CQ253" s="64">
        <v>0</v>
      </c>
      <c r="CR253" s="64"/>
      <c r="CS253" s="64"/>
      <c r="CT253" s="63">
        <v>0</v>
      </c>
      <c r="CU253" s="63"/>
      <c r="CV253" s="63"/>
      <c r="CW253" s="63"/>
      <c r="CX253" s="63">
        <f t="shared" si="712"/>
        <v>0</v>
      </c>
      <c r="CY253" s="63">
        <f t="shared" si="713"/>
        <v>0</v>
      </c>
      <c r="CZ253" s="63">
        <v>0</v>
      </c>
      <c r="DA253" s="66">
        <v>0</v>
      </c>
    </row>
    <row r="254" spans="1:105" s="87" customFormat="1" ht="15.75" x14ac:dyDescent="0.25">
      <c r="A254" s="75" t="s">
        <v>1</v>
      </c>
      <c r="B254" s="60" t="s">
        <v>188</v>
      </c>
      <c r="C254" s="61" t="s">
        <v>567</v>
      </c>
      <c r="D254" s="62">
        <f t="shared" si="795"/>
        <v>6462129</v>
      </c>
      <c r="E254" s="63">
        <f t="shared" si="796"/>
        <v>6462129</v>
      </c>
      <c r="F254" s="63">
        <f t="shared" si="797"/>
        <v>6462129</v>
      </c>
      <c r="G254" s="64">
        <v>0</v>
      </c>
      <c r="H254" s="64">
        <v>0</v>
      </c>
      <c r="I254" s="63">
        <f>SUM(J254:O254)</f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0</v>
      </c>
      <c r="P254" s="63">
        <f>SUM(Q254:R254)</f>
        <v>0</v>
      </c>
      <c r="Q254" s="64">
        <v>0</v>
      </c>
      <c r="R254" s="64">
        <v>0</v>
      </c>
      <c r="S254" s="64">
        <v>0</v>
      </c>
      <c r="T254" s="64">
        <v>0</v>
      </c>
      <c r="U254" s="63">
        <f t="shared" si="798"/>
        <v>0</v>
      </c>
      <c r="V254" s="64">
        <v>0</v>
      </c>
      <c r="W254" s="64"/>
      <c r="X254" s="64"/>
      <c r="Y254" s="64"/>
      <c r="Z254" s="64">
        <v>0</v>
      </c>
      <c r="AA254" s="64">
        <v>0</v>
      </c>
      <c r="AB254" s="64">
        <v>0</v>
      </c>
      <c r="AC254" s="64">
        <v>0</v>
      </c>
      <c r="AD254" s="65">
        <v>0</v>
      </c>
      <c r="AE254" s="63">
        <f t="shared" si="799"/>
        <v>6462129</v>
      </c>
      <c r="AF254" s="65">
        <v>0</v>
      </c>
      <c r="AG254" s="65">
        <v>0</v>
      </c>
      <c r="AH254" s="67">
        <v>0</v>
      </c>
      <c r="AI254" s="67">
        <v>0</v>
      </c>
      <c r="AJ254" s="67">
        <v>0</v>
      </c>
      <c r="AK254" s="67">
        <v>0</v>
      </c>
      <c r="AL254" s="67">
        <v>0</v>
      </c>
      <c r="AM254" s="67">
        <v>0</v>
      </c>
      <c r="AN254" s="67">
        <v>0</v>
      </c>
      <c r="AO254" s="67">
        <v>0</v>
      </c>
      <c r="AP254" s="67">
        <v>0</v>
      </c>
      <c r="AQ254" s="67"/>
      <c r="AR254" s="67">
        <v>0</v>
      </c>
      <c r="AS254" s="67">
        <v>0</v>
      </c>
      <c r="AT254" s="67">
        <v>0</v>
      </c>
      <c r="AU254" s="67">
        <v>0</v>
      </c>
      <c r="AV254" s="67">
        <v>0</v>
      </c>
      <c r="AW254" s="67">
        <v>0</v>
      </c>
      <c r="AX254" s="67">
        <v>0</v>
      </c>
      <c r="AY254" s="67">
        <v>0</v>
      </c>
      <c r="AZ254" s="67">
        <v>0</v>
      </c>
      <c r="BA254" s="67">
        <f>6461998+131</f>
        <v>6462129</v>
      </c>
      <c r="BB254" s="63">
        <f t="shared" si="800"/>
        <v>0</v>
      </c>
      <c r="BC254" s="63">
        <f t="shared" si="801"/>
        <v>0</v>
      </c>
      <c r="BD254" s="63">
        <v>0</v>
      </c>
      <c r="BE254" s="63">
        <v>0</v>
      </c>
      <c r="BF254" s="63">
        <v>0</v>
      </c>
      <c r="BG254" s="63">
        <f t="shared" si="802"/>
        <v>0</v>
      </c>
      <c r="BH254" s="63">
        <v>0</v>
      </c>
      <c r="BI254" s="63">
        <v>0</v>
      </c>
      <c r="BJ254" s="63">
        <v>0</v>
      </c>
      <c r="BK254" s="63">
        <v>0</v>
      </c>
      <c r="BL254" s="63">
        <f>SUM(BM254)</f>
        <v>0</v>
      </c>
      <c r="BM254" s="63">
        <v>0</v>
      </c>
      <c r="BN254" s="63">
        <v>0</v>
      </c>
      <c r="BO254" s="63">
        <f t="shared" si="803"/>
        <v>0</v>
      </c>
      <c r="BP254" s="63">
        <v>0</v>
      </c>
      <c r="BQ254" s="63">
        <v>0</v>
      </c>
      <c r="BR254" s="63">
        <v>0</v>
      </c>
      <c r="BS254" s="63">
        <v>0</v>
      </c>
      <c r="BT254" s="63">
        <v>0</v>
      </c>
      <c r="BU254" s="63">
        <v>0</v>
      </c>
      <c r="BV254" s="63">
        <v>0</v>
      </c>
      <c r="BW254" s="63">
        <v>0</v>
      </c>
      <c r="BX254" s="63">
        <v>0</v>
      </c>
      <c r="BY254" s="63">
        <v>0</v>
      </c>
      <c r="BZ254" s="63">
        <v>0</v>
      </c>
      <c r="CA254" s="63">
        <f t="shared" si="804"/>
        <v>0</v>
      </c>
      <c r="CB254" s="63">
        <f t="shared" si="805"/>
        <v>0</v>
      </c>
      <c r="CC254" s="63">
        <f>SUM(CD254:CE254)</f>
        <v>0</v>
      </c>
      <c r="CD254" s="64">
        <v>0</v>
      </c>
      <c r="CE254" s="64"/>
      <c r="CF254" s="63">
        <f t="shared" si="806"/>
        <v>0</v>
      </c>
      <c r="CG254" s="64">
        <v>0</v>
      </c>
      <c r="CH254" s="64">
        <v>0</v>
      </c>
      <c r="CI254" s="64">
        <v>0</v>
      </c>
      <c r="CJ254" s="64">
        <v>0</v>
      </c>
      <c r="CK254" s="64">
        <v>0</v>
      </c>
      <c r="CL254" s="63">
        <f t="shared" si="807"/>
        <v>0</v>
      </c>
      <c r="CM254" s="64">
        <v>0</v>
      </c>
      <c r="CN254" s="64">
        <v>0</v>
      </c>
      <c r="CO254" s="64">
        <v>0</v>
      </c>
      <c r="CP254" s="64">
        <v>0</v>
      </c>
      <c r="CQ254" s="64">
        <v>0</v>
      </c>
      <c r="CR254" s="64"/>
      <c r="CS254" s="64"/>
      <c r="CT254" s="63">
        <v>0</v>
      </c>
      <c r="CU254" s="63"/>
      <c r="CV254" s="63"/>
      <c r="CW254" s="63"/>
      <c r="CX254" s="63">
        <f>SUM(CY254)</f>
        <v>0</v>
      </c>
      <c r="CY254" s="63">
        <f>SUM(CZ254:DA254)</f>
        <v>0</v>
      </c>
      <c r="CZ254" s="63">
        <v>0</v>
      </c>
      <c r="DA254" s="66">
        <v>0</v>
      </c>
    </row>
    <row r="255" spans="1:105" s="87" customFormat="1" ht="15.75" x14ac:dyDescent="0.25">
      <c r="A255" s="75" t="s">
        <v>1</v>
      </c>
      <c r="B255" s="60" t="s">
        <v>188</v>
      </c>
      <c r="C255" s="61" t="s">
        <v>568</v>
      </c>
      <c r="D255" s="62">
        <f t="shared" si="795"/>
        <v>30285253</v>
      </c>
      <c r="E255" s="63">
        <f t="shared" si="796"/>
        <v>30135253</v>
      </c>
      <c r="F255" s="63">
        <f t="shared" si="797"/>
        <v>30135253</v>
      </c>
      <c r="G255" s="64">
        <v>19850000</v>
      </c>
      <c r="H255" s="64">
        <v>4962500</v>
      </c>
      <c r="I255" s="63">
        <f t="shared" si="707"/>
        <v>1262383</v>
      </c>
      <c r="J255" s="64">
        <v>13000</v>
      </c>
      <c r="K255" s="64">
        <v>20500</v>
      </c>
      <c r="L255" s="64">
        <v>210000</v>
      </c>
      <c r="M255" s="64">
        <v>0</v>
      </c>
      <c r="N255" s="64">
        <v>593883</v>
      </c>
      <c r="O255" s="64">
        <v>425000</v>
      </c>
      <c r="P255" s="63">
        <f t="shared" si="708"/>
        <v>161489</v>
      </c>
      <c r="Q255" s="64">
        <v>10000</v>
      </c>
      <c r="R255" s="64">
        <f>140000+11489</f>
        <v>151489</v>
      </c>
      <c r="S255" s="64">
        <v>150000</v>
      </c>
      <c r="T255" s="64">
        <v>0</v>
      </c>
      <c r="U255" s="63">
        <f t="shared" si="798"/>
        <v>1986876</v>
      </c>
      <c r="V255" s="64">
        <v>321324</v>
      </c>
      <c r="W255" s="64">
        <f>970594+100000+9456</f>
        <v>1080050</v>
      </c>
      <c r="X255" s="64">
        <f>206051+17820+4500+11162</f>
        <v>239533</v>
      </c>
      <c r="Y255" s="64">
        <f>209130+8152+35229</f>
        <v>252511</v>
      </c>
      <c r="Z255" s="64">
        <v>93000</v>
      </c>
      <c r="AA255" s="64">
        <v>0</v>
      </c>
      <c r="AB255" s="64">
        <v>0</v>
      </c>
      <c r="AC255" s="64">
        <v>458</v>
      </c>
      <c r="AD255" s="65">
        <v>0</v>
      </c>
      <c r="AE255" s="63">
        <f t="shared" si="799"/>
        <v>1762005</v>
      </c>
      <c r="AF255" s="65">
        <v>0</v>
      </c>
      <c r="AG255" s="65">
        <v>0</v>
      </c>
      <c r="AH255" s="67">
        <v>60000</v>
      </c>
      <c r="AI255" s="67">
        <v>245000</v>
      </c>
      <c r="AJ255" s="67">
        <f>250000+34000</f>
        <v>284000</v>
      </c>
      <c r="AK255" s="67">
        <f>303500-1500</f>
        <v>302000</v>
      </c>
      <c r="AL255" s="67">
        <v>0</v>
      </c>
      <c r="AM255" s="67">
        <f>113000+34000-34000</f>
        <v>113000</v>
      </c>
      <c r="AN255" s="67">
        <f>250000+34852-9456</f>
        <v>275396</v>
      </c>
      <c r="AO255" s="67">
        <v>0</v>
      </c>
      <c r="AP255" s="67">
        <f>10000-3000</f>
        <v>7000</v>
      </c>
      <c r="AQ255" s="67"/>
      <c r="AR255" s="67">
        <v>0</v>
      </c>
      <c r="AS255" s="67">
        <v>0</v>
      </c>
      <c r="AT255" s="67">
        <v>0</v>
      </c>
      <c r="AU255" s="67">
        <v>0</v>
      </c>
      <c r="AV255" s="67">
        <v>0</v>
      </c>
      <c r="AW255" s="67">
        <v>0</v>
      </c>
      <c r="AX255" s="67">
        <v>0</v>
      </c>
      <c r="AY255" s="67">
        <v>0</v>
      </c>
      <c r="AZ255" s="67">
        <v>0</v>
      </c>
      <c r="BA255" s="67">
        <f>472000+3609</f>
        <v>475609</v>
      </c>
      <c r="BB255" s="63">
        <f t="shared" si="800"/>
        <v>0</v>
      </c>
      <c r="BC255" s="63">
        <f t="shared" si="801"/>
        <v>0</v>
      </c>
      <c r="BD255" s="63">
        <v>0</v>
      </c>
      <c r="BE255" s="63">
        <v>0</v>
      </c>
      <c r="BF255" s="63">
        <v>0</v>
      </c>
      <c r="BG255" s="63">
        <f t="shared" si="802"/>
        <v>0</v>
      </c>
      <c r="BH255" s="63">
        <v>0</v>
      </c>
      <c r="BI255" s="63">
        <v>0</v>
      </c>
      <c r="BJ255" s="63">
        <v>0</v>
      </c>
      <c r="BK255" s="63">
        <v>0</v>
      </c>
      <c r="BL255" s="63">
        <f t="shared" si="710"/>
        <v>0</v>
      </c>
      <c r="BM255" s="63">
        <v>0</v>
      </c>
      <c r="BN255" s="63">
        <v>0</v>
      </c>
      <c r="BO255" s="63">
        <f t="shared" si="803"/>
        <v>0</v>
      </c>
      <c r="BP255" s="63">
        <v>0</v>
      </c>
      <c r="BQ255" s="63">
        <v>0</v>
      </c>
      <c r="BR255" s="63"/>
      <c r="BS255" s="63">
        <v>0</v>
      </c>
      <c r="BT255" s="63">
        <v>0</v>
      </c>
      <c r="BU255" s="63">
        <v>0</v>
      </c>
      <c r="BV255" s="63">
        <v>0</v>
      </c>
      <c r="BW255" s="63">
        <v>0</v>
      </c>
      <c r="BX255" s="63">
        <v>0</v>
      </c>
      <c r="BY255" s="63">
        <v>0</v>
      </c>
      <c r="BZ255" s="63">
        <v>0</v>
      </c>
      <c r="CA255" s="63">
        <f t="shared" si="804"/>
        <v>150000</v>
      </c>
      <c r="CB255" s="63">
        <f t="shared" si="805"/>
        <v>150000</v>
      </c>
      <c r="CC255" s="63">
        <f t="shared" si="711"/>
        <v>150000</v>
      </c>
      <c r="CD255" s="64">
        <v>0</v>
      </c>
      <c r="CE255" s="64">
        <f>200000-50000</f>
        <v>150000</v>
      </c>
      <c r="CF255" s="63">
        <f t="shared" si="806"/>
        <v>0</v>
      </c>
      <c r="CG255" s="64">
        <v>0</v>
      </c>
      <c r="CH255" s="64">
        <v>0</v>
      </c>
      <c r="CI255" s="64">
        <v>0</v>
      </c>
      <c r="CJ255" s="64">
        <v>0</v>
      </c>
      <c r="CK255" s="64">
        <v>0</v>
      </c>
      <c r="CL255" s="63">
        <f t="shared" si="807"/>
        <v>0</v>
      </c>
      <c r="CM255" s="64">
        <v>0</v>
      </c>
      <c r="CN255" s="64"/>
      <c r="CO255" s="64">
        <v>0</v>
      </c>
      <c r="CP255" s="64">
        <v>0</v>
      </c>
      <c r="CQ255" s="64">
        <v>0</v>
      </c>
      <c r="CR255" s="64"/>
      <c r="CS255" s="64"/>
      <c r="CT255" s="63">
        <v>0</v>
      </c>
      <c r="CU255" s="63"/>
      <c r="CV255" s="63"/>
      <c r="CW255" s="63"/>
      <c r="CX255" s="63">
        <f t="shared" si="712"/>
        <v>0</v>
      </c>
      <c r="CY255" s="63">
        <f t="shared" si="713"/>
        <v>0</v>
      </c>
      <c r="CZ255" s="63">
        <v>0</v>
      </c>
      <c r="DA255" s="66">
        <v>0</v>
      </c>
    </row>
    <row r="256" spans="1:105" ht="15.75" x14ac:dyDescent="0.25">
      <c r="A256" s="72" t="s">
        <v>1</v>
      </c>
      <c r="B256" s="21" t="s">
        <v>156</v>
      </c>
      <c r="C256" s="22" t="s">
        <v>569</v>
      </c>
      <c r="D256" s="18">
        <f t="shared" si="795"/>
        <v>1700000</v>
      </c>
      <c r="E256" s="19">
        <f t="shared" si="796"/>
        <v>1555000</v>
      </c>
      <c r="F256" s="19">
        <f t="shared" si="797"/>
        <v>1555000</v>
      </c>
      <c r="G256" s="23">
        <f>16000+204416</f>
        <v>220416</v>
      </c>
      <c r="H256" s="23">
        <f>4000+51104</f>
        <v>55104</v>
      </c>
      <c r="I256" s="19">
        <f t="shared" si="707"/>
        <v>630000</v>
      </c>
      <c r="J256" s="23">
        <v>0</v>
      </c>
      <c r="K256" s="23">
        <f>200000-100000</f>
        <v>100000</v>
      </c>
      <c r="L256" s="23">
        <v>0</v>
      </c>
      <c r="M256" s="23">
        <v>0</v>
      </c>
      <c r="N256" s="23">
        <v>130000</v>
      </c>
      <c r="O256" s="23">
        <v>400000</v>
      </c>
      <c r="P256" s="19">
        <f t="shared" si="708"/>
        <v>10000</v>
      </c>
      <c r="Q256" s="23">
        <v>10000</v>
      </c>
      <c r="R256" s="23">
        <v>0</v>
      </c>
      <c r="S256" s="23">
        <v>0</v>
      </c>
      <c r="T256" s="23">
        <v>100000</v>
      </c>
      <c r="U256" s="19">
        <f t="shared" si="798"/>
        <v>10000</v>
      </c>
      <c r="V256" s="23">
        <v>10000</v>
      </c>
      <c r="W256" s="23">
        <v>0</v>
      </c>
      <c r="X256" s="23">
        <v>0</v>
      </c>
      <c r="Y256" s="23">
        <v>0</v>
      </c>
      <c r="Z256" s="23">
        <v>0</v>
      </c>
      <c r="AA256" s="23">
        <v>0</v>
      </c>
      <c r="AB256" s="23">
        <v>0</v>
      </c>
      <c r="AC256" s="23">
        <v>0</v>
      </c>
      <c r="AD256" s="24">
        <v>0</v>
      </c>
      <c r="AE256" s="19">
        <f t="shared" si="799"/>
        <v>529480</v>
      </c>
      <c r="AF256" s="24">
        <v>0</v>
      </c>
      <c r="AG256" s="24">
        <v>0</v>
      </c>
      <c r="AH256" s="50">
        <v>100000</v>
      </c>
      <c r="AI256" s="50">
        <f>130000-65520</f>
        <v>64480</v>
      </c>
      <c r="AJ256" s="50">
        <v>0</v>
      </c>
      <c r="AK256" s="50">
        <v>0</v>
      </c>
      <c r="AL256" s="50">
        <v>0</v>
      </c>
      <c r="AM256" s="50">
        <v>0</v>
      </c>
      <c r="AN256" s="50">
        <v>0</v>
      </c>
      <c r="AO256" s="50">
        <v>15000</v>
      </c>
      <c r="AP256" s="50">
        <v>0</v>
      </c>
      <c r="AQ256" s="50"/>
      <c r="AR256" s="50">
        <v>0</v>
      </c>
      <c r="AS256" s="50">
        <v>0</v>
      </c>
      <c r="AT256" s="50">
        <v>0</v>
      </c>
      <c r="AU256" s="50">
        <v>0</v>
      </c>
      <c r="AV256" s="50">
        <v>0</v>
      </c>
      <c r="AW256" s="50">
        <v>0</v>
      </c>
      <c r="AX256" s="50">
        <v>0</v>
      </c>
      <c r="AY256" s="50">
        <v>0</v>
      </c>
      <c r="AZ256" s="50">
        <v>0</v>
      </c>
      <c r="BA256" s="50">
        <f>400000-50000</f>
        <v>350000</v>
      </c>
      <c r="BB256" s="19">
        <f t="shared" si="800"/>
        <v>0</v>
      </c>
      <c r="BC256" s="19">
        <f t="shared" si="801"/>
        <v>0</v>
      </c>
      <c r="BD256" s="19">
        <v>0</v>
      </c>
      <c r="BE256" s="19">
        <v>0</v>
      </c>
      <c r="BF256" s="19">
        <v>0</v>
      </c>
      <c r="BG256" s="19">
        <f t="shared" si="802"/>
        <v>0</v>
      </c>
      <c r="BH256" s="19">
        <v>0</v>
      </c>
      <c r="BI256" s="19">
        <v>0</v>
      </c>
      <c r="BJ256" s="19">
        <v>0</v>
      </c>
      <c r="BK256" s="19">
        <v>0</v>
      </c>
      <c r="BL256" s="19">
        <f t="shared" si="710"/>
        <v>0</v>
      </c>
      <c r="BM256" s="19">
        <v>0</v>
      </c>
      <c r="BN256" s="19">
        <v>0</v>
      </c>
      <c r="BO256" s="19">
        <f t="shared" si="803"/>
        <v>0</v>
      </c>
      <c r="BP256" s="19">
        <v>0</v>
      </c>
      <c r="BQ256" s="19">
        <v>0</v>
      </c>
      <c r="BR256" s="19">
        <v>0</v>
      </c>
      <c r="BS256" s="19">
        <v>0</v>
      </c>
      <c r="BT256" s="19">
        <v>0</v>
      </c>
      <c r="BU256" s="19">
        <v>0</v>
      </c>
      <c r="BV256" s="19">
        <v>0</v>
      </c>
      <c r="BW256" s="19">
        <v>0</v>
      </c>
      <c r="BX256" s="19">
        <v>0</v>
      </c>
      <c r="BY256" s="19">
        <v>0</v>
      </c>
      <c r="BZ256" s="19">
        <v>0</v>
      </c>
      <c r="CA256" s="19">
        <f t="shared" si="804"/>
        <v>145000</v>
      </c>
      <c r="CB256" s="19">
        <f t="shared" si="805"/>
        <v>145000</v>
      </c>
      <c r="CC256" s="19">
        <f t="shared" si="711"/>
        <v>145000</v>
      </c>
      <c r="CD256" s="23">
        <v>0</v>
      </c>
      <c r="CE256" s="23">
        <f>185000-40000</f>
        <v>145000</v>
      </c>
      <c r="CF256" s="19">
        <f t="shared" si="806"/>
        <v>0</v>
      </c>
      <c r="CG256" s="23">
        <v>0</v>
      </c>
      <c r="CH256" s="23">
        <v>0</v>
      </c>
      <c r="CI256" s="23">
        <v>0</v>
      </c>
      <c r="CJ256" s="23">
        <v>0</v>
      </c>
      <c r="CK256" s="23">
        <v>0</v>
      </c>
      <c r="CL256" s="19">
        <f t="shared" si="807"/>
        <v>0</v>
      </c>
      <c r="CM256" s="23">
        <v>0</v>
      </c>
      <c r="CN256" s="23">
        <v>0</v>
      </c>
      <c r="CO256" s="23">
        <v>0</v>
      </c>
      <c r="CP256" s="23">
        <v>0</v>
      </c>
      <c r="CQ256" s="23">
        <v>0</v>
      </c>
      <c r="CR256" s="23"/>
      <c r="CS256" s="23"/>
      <c r="CT256" s="19">
        <v>0</v>
      </c>
      <c r="CU256" s="19"/>
      <c r="CV256" s="19"/>
      <c r="CW256" s="19"/>
      <c r="CX256" s="19">
        <f t="shared" si="712"/>
        <v>0</v>
      </c>
      <c r="CY256" s="19">
        <f t="shared" si="713"/>
        <v>0</v>
      </c>
      <c r="CZ256" s="19">
        <v>0</v>
      </c>
      <c r="DA256" s="20">
        <v>0</v>
      </c>
    </row>
    <row r="257" spans="1:106" s="87" customFormat="1" ht="15.75" x14ac:dyDescent="0.25">
      <c r="A257" s="75" t="s">
        <v>1</v>
      </c>
      <c r="B257" s="60" t="s">
        <v>158</v>
      </c>
      <c r="C257" s="61" t="s">
        <v>570</v>
      </c>
      <c r="D257" s="62">
        <f t="shared" si="795"/>
        <v>11305377</v>
      </c>
      <c r="E257" s="63">
        <f t="shared" si="796"/>
        <v>10219051</v>
      </c>
      <c r="F257" s="63">
        <f t="shared" si="797"/>
        <v>10219051</v>
      </c>
      <c r="G257" s="64">
        <v>797810</v>
      </c>
      <c r="H257" s="64">
        <v>173238</v>
      </c>
      <c r="I257" s="63">
        <f t="shared" si="707"/>
        <v>6835697</v>
      </c>
      <c r="J257" s="64">
        <v>16604</v>
      </c>
      <c r="K257" s="64">
        <v>13500</v>
      </c>
      <c r="L257" s="64">
        <v>40000</v>
      </c>
      <c r="M257" s="64">
        <v>0</v>
      </c>
      <c r="N257" s="64">
        <f>1207062+969580</f>
        <v>2176642</v>
      </c>
      <c r="O257" s="64">
        <f>2376662+2212289</f>
        <v>4588951</v>
      </c>
      <c r="P257" s="63">
        <f t="shared" si="708"/>
        <v>0</v>
      </c>
      <c r="Q257" s="64">
        <v>0</v>
      </c>
      <c r="R257" s="64">
        <v>0</v>
      </c>
      <c r="S257" s="64">
        <v>0</v>
      </c>
      <c r="T257" s="64">
        <v>11400</v>
      </c>
      <c r="U257" s="63">
        <f t="shared" si="798"/>
        <v>434037</v>
      </c>
      <c r="V257" s="64">
        <f>126874+59002</f>
        <v>185876</v>
      </c>
      <c r="W257" s="64">
        <v>0</v>
      </c>
      <c r="X257" s="64">
        <v>80169</v>
      </c>
      <c r="Y257" s="64">
        <v>28006</v>
      </c>
      <c r="Z257" s="64">
        <f>68879+6000</f>
        <v>74879</v>
      </c>
      <c r="AA257" s="64">
        <v>0</v>
      </c>
      <c r="AB257" s="64">
        <v>0</v>
      </c>
      <c r="AC257" s="64">
        <v>65107</v>
      </c>
      <c r="AD257" s="65">
        <v>0</v>
      </c>
      <c r="AE257" s="63">
        <f t="shared" si="799"/>
        <v>1966869</v>
      </c>
      <c r="AF257" s="65">
        <v>0</v>
      </c>
      <c r="AG257" s="65">
        <v>0</v>
      </c>
      <c r="AH257" s="67">
        <f>92904+29000</f>
        <v>121904</v>
      </c>
      <c r="AI257" s="67">
        <f>519746+238500</f>
        <v>758246</v>
      </c>
      <c r="AJ257" s="67">
        <v>0</v>
      </c>
      <c r="AK257" s="67">
        <v>18900</v>
      </c>
      <c r="AL257" s="67">
        <v>5000</v>
      </c>
      <c r="AM257" s="67">
        <v>0</v>
      </c>
      <c r="AN257" s="67">
        <v>10962</v>
      </c>
      <c r="AO257" s="67">
        <v>0</v>
      </c>
      <c r="AP257" s="67">
        <v>0</v>
      </c>
      <c r="AQ257" s="67"/>
      <c r="AR257" s="67">
        <v>0</v>
      </c>
      <c r="AS257" s="67">
        <v>0</v>
      </c>
      <c r="AT257" s="67">
        <v>0</v>
      </c>
      <c r="AU257" s="67">
        <v>0</v>
      </c>
      <c r="AV257" s="67">
        <v>0</v>
      </c>
      <c r="AW257" s="67">
        <v>0</v>
      </c>
      <c r="AX257" s="67">
        <v>3896</v>
      </c>
      <c r="AY257" s="67">
        <v>0</v>
      </c>
      <c r="AZ257" s="67">
        <v>0</v>
      </c>
      <c r="BA257" s="67">
        <f>1041672+6289</f>
        <v>1047961</v>
      </c>
      <c r="BB257" s="63">
        <f t="shared" si="800"/>
        <v>0</v>
      </c>
      <c r="BC257" s="63">
        <f t="shared" si="801"/>
        <v>0</v>
      </c>
      <c r="BD257" s="63">
        <v>0</v>
      </c>
      <c r="BE257" s="63">
        <v>0</v>
      </c>
      <c r="BF257" s="63">
        <v>0</v>
      </c>
      <c r="BG257" s="63">
        <f t="shared" si="802"/>
        <v>0</v>
      </c>
      <c r="BH257" s="63">
        <v>0</v>
      </c>
      <c r="BI257" s="63">
        <v>0</v>
      </c>
      <c r="BJ257" s="63">
        <v>0</v>
      </c>
      <c r="BK257" s="63">
        <v>0</v>
      </c>
      <c r="BL257" s="63">
        <f t="shared" si="710"/>
        <v>0</v>
      </c>
      <c r="BM257" s="63">
        <v>0</v>
      </c>
      <c r="BN257" s="63">
        <v>0</v>
      </c>
      <c r="BO257" s="63">
        <f t="shared" si="803"/>
        <v>0</v>
      </c>
      <c r="BP257" s="63">
        <v>0</v>
      </c>
      <c r="BQ257" s="63">
        <v>0</v>
      </c>
      <c r="BR257" s="63">
        <v>0</v>
      </c>
      <c r="BS257" s="63">
        <v>0</v>
      </c>
      <c r="BT257" s="63">
        <v>0</v>
      </c>
      <c r="BU257" s="63">
        <v>0</v>
      </c>
      <c r="BV257" s="63">
        <v>0</v>
      </c>
      <c r="BW257" s="63">
        <v>0</v>
      </c>
      <c r="BX257" s="63">
        <v>0</v>
      </c>
      <c r="BY257" s="63">
        <v>0</v>
      </c>
      <c r="BZ257" s="63">
        <v>0</v>
      </c>
      <c r="CA257" s="63">
        <f t="shared" si="804"/>
        <v>1086326</v>
      </c>
      <c r="CB257" s="63">
        <f t="shared" si="805"/>
        <v>1086326</v>
      </c>
      <c r="CC257" s="63">
        <f t="shared" si="711"/>
        <v>777971</v>
      </c>
      <c r="CD257" s="64">
        <v>220580</v>
      </c>
      <c r="CE257" s="64">
        <f>474727+82664</f>
        <v>557391</v>
      </c>
      <c r="CF257" s="63">
        <f t="shared" si="806"/>
        <v>0</v>
      </c>
      <c r="CG257" s="64">
        <v>0</v>
      </c>
      <c r="CH257" s="64">
        <v>0</v>
      </c>
      <c r="CI257" s="64">
        <v>0</v>
      </c>
      <c r="CJ257" s="64">
        <v>0</v>
      </c>
      <c r="CK257" s="64">
        <v>0</v>
      </c>
      <c r="CL257" s="63">
        <f t="shared" si="807"/>
        <v>308355</v>
      </c>
      <c r="CM257" s="64">
        <f>0+100000</f>
        <v>100000</v>
      </c>
      <c r="CN257" s="64">
        <v>0</v>
      </c>
      <c r="CO257" s="64">
        <f>130000+78355</f>
        <v>208355</v>
      </c>
      <c r="CP257" s="64">
        <v>0</v>
      </c>
      <c r="CQ257" s="64">
        <v>0</v>
      </c>
      <c r="CR257" s="64"/>
      <c r="CS257" s="64"/>
      <c r="CT257" s="63">
        <v>0</v>
      </c>
      <c r="CU257" s="63"/>
      <c r="CV257" s="63"/>
      <c r="CW257" s="63"/>
      <c r="CX257" s="63">
        <f t="shared" si="712"/>
        <v>0</v>
      </c>
      <c r="CY257" s="63">
        <f t="shared" si="713"/>
        <v>0</v>
      </c>
      <c r="CZ257" s="63">
        <v>0</v>
      </c>
      <c r="DA257" s="66">
        <v>0</v>
      </c>
    </row>
    <row r="258" spans="1:106" s="87" customFormat="1" ht="15.75" x14ac:dyDescent="0.25">
      <c r="A258" s="75" t="s">
        <v>1</v>
      </c>
      <c r="B258" s="60" t="s">
        <v>94</v>
      </c>
      <c r="C258" s="61" t="s">
        <v>571</v>
      </c>
      <c r="D258" s="62">
        <f t="shared" si="795"/>
        <v>35831</v>
      </c>
      <c r="E258" s="63">
        <f t="shared" si="796"/>
        <v>32831</v>
      </c>
      <c r="F258" s="63">
        <f t="shared" si="797"/>
        <v>32831</v>
      </c>
      <c r="G258" s="64">
        <v>2335</v>
      </c>
      <c r="H258" s="64">
        <v>584</v>
      </c>
      <c r="I258" s="63">
        <f t="shared" si="707"/>
        <v>17039</v>
      </c>
      <c r="J258" s="64">
        <v>1635</v>
      </c>
      <c r="K258" s="64">
        <v>584</v>
      </c>
      <c r="L258" s="64">
        <v>0</v>
      </c>
      <c r="M258" s="64">
        <v>0</v>
      </c>
      <c r="N258" s="64">
        <v>0</v>
      </c>
      <c r="O258" s="64">
        <f>5889+8931</f>
        <v>14820</v>
      </c>
      <c r="P258" s="63">
        <f t="shared" si="708"/>
        <v>0</v>
      </c>
      <c r="Q258" s="64">
        <v>0</v>
      </c>
      <c r="R258" s="64">
        <v>0</v>
      </c>
      <c r="S258" s="64">
        <v>0</v>
      </c>
      <c r="T258" s="64">
        <v>0</v>
      </c>
      <c r="U258" s="63">
        <f t="shared" si="798"/>
        <v>1808</v>
      </c>
      <c r="V258" s="64">
        <v>0</v>
      </c>
      <c r="W258" s="64">
        <v>0</v>
      </c>
      <c r="X258" s="64">
        <v>0</v>
      </c>
      <c r="Y258" s="64">
        <v>1808</v>
      </c>
      <c r="Z258" s="64">
        <v>0</v>
      </c>
      <c r="AA258" s="64">
        <v>0</v>
      </c>
      <c r="AB258" s="64">
        <v>0</v>
      </c>
      <c r="AC258" s="64">
        <v>0</v>
      </c>
      <c r="AD258" s="65">
        <v>0</v>
      </c>
      <c r="AE258" s="63">
        <f t="shared" si="799"/>
        <v>11065</v>
      </c>
      <c r="AF258" s="65">
        <v>0</v>
      </c>
      <c r="AG258" s="65">
        <v>0</v>
      </c>
      <c r="AH258" s="67">
        <v>705</v>
      </c>
      <c r="AI258" s="67">
        <v>0</v>
      </c>
      <c r="AJ258" s="67">
        <v>0</v>
      </c>
      <c r="AK258" s="67">
        <v>310</v>
      </c>
      <c r="AL258" s="67">
        <v>0</v>
      </c>
      <c r="AM258" s="67">
        <v>0</v>
      </c>
      <c r="AN258" s="67">
        <v>0</v>
      </c>
      <c r="AO258" s="67">
        <v>0</v>
      </c>
      <c r="AP258" s="67">
        <v>0</v>
      </c>
      <c r="AQ258" s="67"/>
      <c r="AR258" s="67">
        <v>0</v>
      </c>
      <c r="AS258" s="67">
        <v>0</v>
      </c>
      <c r="AT258" s="67">
        <v>0</v>
      </c>
      <c r="AU258" s="67">
        <v>0</v>
      </c>
      <c r="AV258" s="67">
        <v>0</v>
      </c>
      <c r="AW258" s="67">
        <v>0</v>
      </c>
      <c r="AX258" s="67">
        <v>0</v>
      </c>
      <c r="AY258" s="67">
        <v>0</v>
      </c>
      <c r="AZ258" s="67">
        <v>0</v>
      </c>
      <c r="BA258" s="67">
        <f>6500+3550</f>
        <v>10050</v>
      </c>
      <c r="BB258" s="63">
        <f t="shared" si="800"/>
        <v>0</v>
      </c>
      <c r="BC258" s="63">
        <f t="shared" si="801"/>
        <v>0</v>
      </c>
      <c r="BD258" s="63">
        <v>0</v>
      </c>
      <c r="BE258" s="63">
        <v>0</v>
      </c>
      <c r="BF258" s="63">
        <v>0</v>
      </c>
      <c r="BG258" s="63">
        <f t="shared" si="802"/>
        <v>0</v>
      </c>
      <c r="BH258" s="63">
        <v>0</v>
      </c>
      <c r="BI258" s="63">
        <v>0</v>
      </c>
      <c r="BJ258" s="63">
        <v>0</v>
      </c>
      <c r="BK258" s="63">
        <v>0</v>
      </c>
      <c r="BL258" s="63">
        <f t="shared" si="710"/>
        <v>0</v>
      </c>
      <c r="BM258" s="63">
        <v>0</v>
      </c>
      <c r="BN258" s="63">
        <v>0</v>
      </c>
      <c r="BO258" s="63">
        <f t="shared" si="803"/>
        <v>0</v>
      </c>
      <c r="BP258" s="63">
        <v>0</v>
      </c>
      <c r="BQ258" s="63">
        <v>0</v>
      </c>
      <c r="BR258" s="63">
        <v>0</v>
      </c>
      <c r="BS258" s="63">
        <v>0</v>
      </c>
      <c r="BT258" s="63">
        <v>0</v>
      </c>
      <c r="BU258" s="63">
        <v>0</v>
      </c>
      <c r="BV258" s="63">
        <v>0</v>
      </c>
      <c r="BW258" s="63">
        <v>0</v>
      </c>
      <c r="BX258" s="63">
        <v>0</v>
      </c>
      <c r="BY258" s="63">
        <v>0</v>
      </c>
      <c r="BZ258" s="63">
        <v>0</v>
      </c>
      <c r="CA258" s="63">
        <f t="shared" si="804"/>
        <v>3000</v>
      </c>
      <c r="CB258" s="63">
        <f t="shared" si="805"/>
        <v>3000</v>
      </c>
      <c r="CC258" s="63">
        <f t="shared" si="711"/>
        <v>3000</v>
      </c>
      <c r="CD258" s="64">
        <v>0</v>
      </c>
      <c r="CE258" s="64">
        <v>3000</v>
      </c>
      <c r="CF258" s="63">
        <f t="shared" si="806"/>
        <v>0</v>
      </c>
      <c r="CG258" s="64">
        <v>0</v>
      </c>
      <c r="CH258" s="64">
        <v>0</v>
      </c>
      <c r="CI258" s="64">
        <v>0</v>
      </c>
      <c r="CJ258" s="64">
        <v>0</v>
      </c>
      <c r="CK258" s="64">
        <v>0</v>
      </c>
      <c r="CL258" s="63">
        <f t="shared" si="807"/>
        <v>0</v>
      </c>
      <c r="CM258" s="64">
        <v>0</v>
      </c>
      <c r="CN258" s="64">
        <v>0</v>
      </c>
      <c r="CO258" s="64">
        <v>0</v>
      </c>
      <c r="CP258" s="64">
        <v>0</v>
      </c>
      <c r="CQ258" s="64">
        <v>0</v>
      </c>
      <c r="CR258" s="64"/>
      <c r="CS258" s="64"/>
      <c r="CT258" s="63">
        <v>0</v>
      </c>
      <c r="CU258" s="63"/>
      <c r="CV258" s="63"/>
      <c r="CW258" s="63"/>
      <c r="CX258" s="63">
        <f t="shared" si="712"/>
        <v>0</v>
      </c>
      <c r="CY258" s="63">
        <f t="shared" si="713"/>
        <v>0</v>
      </c>
      <c r="CZ258" s="63">
        <v>0</v>
      </c>
      <c r="DA258" s="66">
        <v>0</v>
      </c>
    </row>
    <row r="259" spans="1:106" s="87" customFormat="1" ht="15.75" x14ac:dyDescent="0.25">
      <c r="A259" s="75" t="s">
        <v>1</v>
      </c>
      <c r="B259" s="60" t="s">
        <v>96</v>
      </c>
      <c r="C259" s="61" t="s">
        <v>572</v>
      </c>
      <c r="D259" s="62">
        <f t="shared" si="795"/>
        <v>862285</v>
      </c>
      <c r="E259" s="63">
        <f t="shared" si="796"/>
        <v>796785</v>
      </c>
      <c r="F259" s="63">
        <f t="shared" si="797"/>
        <v>796785</v>
      </c>
      <c r="G259" s="64">
        <v>55724</v>
      </c>
      <c r="H259" s="64">
        <v>13931</v>
      </c>
      <c r="I259" s="63">
        <f t="shared" si="707"/>
        <v>342403</v>
      </c>
      <c r="J259" s="64">
        <v>2200</v>
      </c>
      <c r="K259" s="64">
        <v>0</v>
      </c>
      <c r="L259" s="64">
        <v>0</v>
      </c>
      <c r="M259" s="64">
        <v>0</v>
      </c>
      <c r="N259" s="64">
        <f>20500+23060</f>
        <v>43560</v>
      </c>
      <c r="O259" s="64">
        <f>177865+118778</f>
        <v>296643</v>
      </c>
      <c r="P259" s="63">
        <f t="shared" si="708"/>
        <v>0</v>
      </c>
      <c r="Q259" s="64">
        <v>0</v>
      </c>
      <c r="R259" s="64">
        <v>0</v>
      </c>
      <c r="S259" s="64">
        <v>5000</v>
      </c>
      <c r="T259" s="64">
        <v>2000</v>
      </c>
      <c r="U259" s="63">
        <f t="shared" si="798"/>
        <v>177363</v>
      </c>
      <c r="V259" s="64">
        <v>5150</v>
      </c>
      <c r="W259" s="64">
        <v>84266</v>
      </c>
      <c r="X259" s="64">
        <v>41347</v>
      </c>
      <c r="Y259" s="64">
        <v>26560</v>
      </c>
      <c r="Z259" s="64">
        <f>7933+1211</f>
        <v>9144</v>
      </c>
      <c r="AA259" s="64">
        <v>9600</v>
      </c>
      <c r="AB259" s="64">
        <v>0</v>
      </c>
      <c r="AC259" s="64">
        <f>596+700</f>
        <v>1296</v>
      </c>
      <c r="AD259" s="65">
        <v>0</v>
      </c>
      <c r="AE259" s="63">
        <f t="shared" si="799"/>
        <v>200364</v>
      </c>
      <c r="AF259" s="65">
        <v>0</v>
      </c>
      <c r="AG259" s="65">
        <v>0</v>
      </c>
      <c r="AH259" s="67">
        <v>5500</v>
      </c>
      <c r="AI259" s="67">
        <f>41480+10000</f>
        <v>51480</v>
      </c>
      <c r="AJ259" s="67">
        <f>2440-700</f>
        <v>1740</v>
      </c>
      <c r="AK259" s="67">
        <v>11500</v>
      </c>
      <c r="AL259" s="67">
        <v>0</v>
      </c>
      <c r="AM259" s="67">
        <v>1830</v>
      </c>
      <c r="AN259" s="67">
        <v>25550</v>
      </c>
      <c r="AO259" s="67">
        <v>0</v>
      </c>
      <c r="AP259" s="67">
        <v>0</v>
      </c>
      <c r="AQ259" s="67">
        <f>0+50000</f>
        <v>50000</v>
      </c>
      <c r="AR259" s="67">
        <v>0</v>
      </c>
      <c r="AS259" s="67">
        <v>0</v>
      </c>
      <c r="AT259" s="67">
        <v>24150</v>
      </c>
      <c r="AU259" s="67">
        <v>0</v>
      </c>
      <c r="AV259" s="67">
        <v>0</v>
      </c>
      <c r="AW259" s="67">
        <v>0</v>
      </c>
      <c r="AX259" s="67">
        <v>0</v>
      </c>
      <c r="AY259" s="67">
        <v>10667</v>
      </c>
      <c r="AZ259" s="67">
        <v>0</v>
      </c>
      <c r="BA259" s="67">
        <v>17947</v>
      </c>
      <c r="BB259" s="63">
        <f t="shared" si="800"/>
        <v>0</v>
      </c>
      <c r="BC259" s="63">
        <f t="shared" si="801"/>
        <v>0</v>
      </c>
      <c r="BD259" s="63">
        <v>0</v>
      </c>
      <c r="BE259" s="63">
        <v>0</v>
      </c>
      <c r="BF259" s="63">
        <v>0</v>
      </c>
      <c r="BG259" s="63">
        <f t="shared" si="802"/>
        <v>0</v>
      </c>
      <c r="BH259" s="63">
        <v>0</v>
      </c>
      <c r="BI259" s="63">
        <v>0</v>
      </c>
      <c r="BJ259" s="63">
        <v>0</v>
      </c>
      <c r="BK259" s="63">
        <v>0</v>
      </c>
      <c r="BL259" s="63">
        <f t="shared" si="710"/>
        <v>0</v>
      </c>
      <c r="BM259" s="63">
        <v>0</v>
      </c>
      <c r="BN259" s="63">
        <v>0</v>
      </c>
      <c r="BO259" s="63">
        <f t="shared" si="803"/>
        <v>0</v>
      </c>
      <c r="BP259" s="63">
        <v>0</v>
      </c>
      <c r="BQ259" s="63">
        <v>0</v>
      </c>
      <c r="BR259" s="63">
        <v>0</v>
      </c>
      <c r="BS259" s="63">
        <v>0</v>
      </c>
      <c r="BT259" s="63">
        <v>0</v>
      </c>
      <c r="BU259" s="63">
        <v>0</v>
      </c>
      <c r="BV259" s="63">
        <v>0</v>
      </c>
      <c r="BW259" s="63">
        <v>0</v>
      </c>
      <c r="BX259" s="63">
        <v>0</v>
      </c>
      <c r="BY259" s="63">
        <v>0</v>
      </c>
      <c r="BZ259" s="63">
        <v>0</v>
      </c>
      <c r="CA259" s="63">
        <f t="shared" si="804"/>
        <v>65500</v>
      </c>
      <c r="CB259" s="63">
        <f t="shared" si="805"/>
        <v>65500</v>
      </c>
      <c r="CC259" s="63">
        <f t="shared" si="711"/>
        <v>65500</v>
      </c>
      <c r="CD259" s="64">
        <v>0</v>
      </c>
      <c r="CE259" s="64">
        <f>65500</f>
        <v>65500</v>
      </c>
      <c r="CF259" s="63">
        <f t="shared" si="806"/>
        <v>0</v>
      </c>
      <c r="CG259" s="64">
        <v>0</v>
      </c>
      <c r="CH259" s="64">
        <v>0</v>
      </c>
      <c r="CI259" s="64">
        <v>0</v>
      </c>
      <c r="CJ259" s="64">
        <v>0</v>
      </c>
      <c r="CK259" s="64">
        <v>0</v>
      </c>
      <c r="CL259" s="63">
        <f t="shared" si="807"/>
        <v>0</v>
      </c>
      <c r="CM259" s="64">
        <v>0</v>
      </c>
      <c r="CN259" s="64">
        <v>0</v>
      </c>
      <c r="CO259" s="64">
        <v>0</v>
      </c>
      <c r="CP259" s="64">
        <v>0</v>
      </c>
      <c r="CQ259" s="64">
        <v>0</v>
      </c>
      <c r="CR259" s="64"/>
      <c r="CS259" s="64"/>
      <c r="CT259" s="63">
        <v>0</v>
      </c>
      <c r="CU259" s="63"/>
      <c r="CV259" s="63"/>
      <c r="CW259" s="63"/>
      <c r="CX259" s="63">
        <f t="shared" si="712"/>
        <v>0</v>
      </c>
      <c r="CY259" s="63">
        <f t="shared" si="713"/>
        <v>0</v>
      </c>
      <c r="CZ259" s="63">
        <v>0</v>
      </c>
      <c r="DA259" s="66">
        <v>0</v>
      </c>
    </row>
    <row r="260" spans="1:106" s="87" customFormat="1" ht="31.5" x14ac:dyDescent="0.25">
      <c r="A260" s="75" t="s">
        <v>1</v>
      </c>
      <c r="B260" s="60" t="s">
        <v>96</v>
      </c>
      <c r="C260" s="61" t="s">
        <v>573</v>
      </c>
      <c r="D260" s="62">
        <f t="shared" si="795"/>
        <v>1345480</v>
      </c>
      <c r="E260" s="63">
        <f t="shared" si="796"/>
        <v>1307503</v>
      </c>
      <c r="F260" s="63">
        <f t="shared" si="797"/>
        <v>1307503</v>
      </c>
      <c r="G260" s="64">
        <v>200680</v>
      </c>
      <c r="H260" s="64">
        <v>50170</v>
      </c>
      <c r="I260" s="63">
        <f t="shared" si="707"/>
        <v>488215</v>
      </c>
      <c r="J260" s="64">
        <v>2500</v>
      </c>
      <c r="K260" s="64">
        <v>19250</v>
      </c>
      <c r="L260" s="64">
        <v>0</v>
      </c>
      <c r="M260" s="64">
        <v>0</v>
      </c>
      <c r="N260" s="64">
        <f>130615+50000</f>
        <v>180615</v>
      </c>
      <c r="O260" s="64">
        <f>99870+19580+166400</f>
        <v>285850</v>
      </c>
      <c r="P260" s="63">
        <f t="shared" si="708"/>
        <v>0</v>
      </c>
      <c r="Q260" s="64">
        <v>0</v>
      </c>
      <c r="R260" s="64">
        <v>0</v>
      </c>
      <c r="S260" s="64">
        <v>0</v>
      </c>
      <c r="T260" s="64">
        <v>14352</v>
      </c>
      <c r="U260" s="63">
        <f t="shared" si="798"/>
        <v>77695</v>
      </c>
      <c r="V260" s="64">
        <v>55373</v>
      </c>
      <c r="W260" s="64">
        <v>8131</v>
      </c>
      <c r="X260" s="64">
        <v>5310</v>
      </c>
      <c r="Y260" s="64">
        <v>1426</v>
      </c>
      <c r="Z260" s="64">
        <v>7455</v>
      </c>
      <c r="AA260" s="64">
        <v>0</v>
      </c>
      <c r="AB260" s="64">
        <v>0</v>
      </c>
      <c r="AC260" s="64">
        <v>0</v>
      </c>
      <c r="AD260" s="65">
        <v>0</v>
      </c>
      <c r="AE260" s="63">
        <f t="shared" si="799"/>
        <v>476391</v>
      </c>
      <c r="AF260" s="65">
        <v>0</v>
      </c>
      <c r="AG260" s="65">
        <v>0</v>
      </c>
      <c r="AH260" s="64">
        <f>31169+50500</f>
        <v>81669</v>
      </c>
      <c r="AI260" s="64">
        <v>84250</v>
      </c>
      <c r="AJ260" s="64">
        <v>0</v>
      </c>
      <c r="AK260" s="64">
        <v>1800</v>
      </c>
      <c r="AL260" s="64">
        <v>0</v>
      </c>
      <c r="AM260" s="64">
        <v>2265</v>
      </c>
      <c r="AN260" s="64">
        <f>36500+5000</f>
        <v>41500</v>
      </c>
      <c r="AO260" s="64">
        <v>0</v>
      </c>
      <c r="AP260" s="64">
        <v>0</v>
      </c>
      <c r="AQ260" s="64"/>
      <c r="AR260" s="64">
        <v>0</v>
      </c>
      <c r="AS260" s="64">
        <v>0</v>
      </c>
      <c r="AT260" s="64">
        <v>0</v>
      </c>
      <c r="AU260" s="64">
        <v>0</v>
      </c>
      <c r="AV260" s="64">
        <v>0</v>
      </c>
      <c r="AW260" s="64">
        <v>0</v>
      </c>
      <c r="AX260" s="64">
        <v>0</v>
      </c>
      <c r="AY260" s="64">
        <v>85483</v>
      </c>
      <c r="AZ260" s="64">
        <v>0</v>
      </c>
      <c r="BA260" s="64">
        <f>179324+100</f>
        <v>179424</v>
      </c>
      <c r="BB260" s="63">
        <f t="shared" si="800"/>
        <v>0</v>
      </c>
      <c r="BC260" s="63">
        <f t="shared" si="801"/>
        <v>0</v>
      </c>
      <c r="BD260" s="63">
        <v>0</v>
      </c>
      <c r="BE260" s="63">
        <v>0</v>
      </c>
      <c r="BF260" s="63">
        <v>0</v>
      </c>
      <c r="BG260" s="63">
        <f t="shared" si="802"/>
        <v>0</v>
      </c>
      <c r="BH260" s="63">
        <v>0</v>
      </c>
      <c r="BI260" s="63">
        <v>0</v>
      </c>
      <c r="BJ260" s="63">
        <v>0</v>
      </c>
      <c r="BK260" s="63">
        <v>0</v>
      </c>
      <c r="BL260" s="63">
        <f t="shared" si="710"/>
        <v>0</v>
      </c>
      <c r="BM260" s="63">
        <v>0</v>
      </c>
      <c r="BN260" s="63">
        <v>0</v>
      </c>
      <c r="BO260" s="63">
        <f t="shared" si="803"/>
        <v>0</v>
      </c>
      <c r="BP260" s="63">
        <v>0</v>
      </c>
      <c r="BQ260" s="63">
        <v>0</v>
      </c>
      <c r="BR260" s="63">
        <v>0</v>
      </c>
      <c r="BS260" s="63">
        <v>0</v>
      </c>
      <c r="BT260" s="63">
        <v>0</v>
      </c>
      <c r="BU260" s="63">
        <v>0</v>
      </c>
      <c r="BV260" s="63">
        <v>0</v>
      </c>
      <c r="BW260" s="63">
        <v>0</v>
      </c>
      <c r="BX260" s="63">
        <v>0</v>
      </c>
      <c r="BY260" s="63">
        <v>0</v>
      </c>
      <c r="BZ260" s="63">
        <v>0</v>
      </c>
      <c r="CA260" s="63">
        <f t="shared" si="804"/>
        <v>37977</v>
      </c>
      <c r="CB260" s="63">
        <f t="shared" si="805"/>
        <v>37977</v>
      </c>
      <c r="CC260" s="63">
        <f t="shared" si="711"/>
        <v>37977</v>
      </c>
      <c r="CD260" s="65"/>
      <c r="CE260" s="64">
        <f>20477+17500</f>
        <v>37977</v>
      </c>
      <c r="CF260" s="63">
        <f t="shared" si="806"/>
        <v>0</v>
      </c>
      <c r="CG260" s="63">
        <v>0</v>
      </c>
      <c r="CH260" s="63">
        <v>0</v>
      </c>
      <c r="CI260" s="63">
        <v>0</v>
      </c>
      <c r="CJ260" s="63">
        <v>0</v>
      </c>
      <c r="CK260" s="63">
        <v>0</v>
      </c>
      <c r="CL260" s="63">
        <f t="shared" si="807"/>
        <v>0</v>
      </c>
      <c r="CM260" s="65"/>
      <c r="CN260" s="65"/>
      <c r="CO260" s="63">
        <v>0</v>
      </c>
      <c r="CP260" s="63">
        <v>0</v>
      </c>
      <c r="CQ260" s="63">
        <v>0</v>
      </c>
      <c r="CR260" s="63"/>
      <c r="CS260" s="63"/>
      <c r="CT260" s="63">
        <v>0</v>
      </c>
      <c r="CU260" s="63"/>
      <c r="CV260" s="63"/>
      <c r="CW260" s="63"/>
      <c r="CX260" s="63">
        <f t="shared" si="712"/>
        <v>0</v>
      </c>
      <c r="CY260" s="63">
        <f t="shared" si="713"/>
        <v>0</v>
      </c>
      <c r="CZ260" s="63">
        <v>0</v>
      </c>
      <c r="DA260" s="66">
        <v>0</v>
      </c>
    </row>
    <row r="261" spans="1:106" s="87" customFormat="1" ht="15.75" x14ac:dyDescent="0.25">
      <c r="A261" s="75" t="s">
        <v>1</v>
      </c>
      <c r="B261" s="60" t="s">
        <v>96</v>
      </c>
      <c r="C261" s="61" t="s">
        <v>621</v>
      </c>
      <c r="D261" s="62">
        <f t="shared" si="795"/>
        <v>2045124</v>
      </c>
      <c r="E261" s="63">
        <f t="shared" si="796"/>
        <v>1787645</v>
      </c>
      <c r="F261" s="63">
        <f t="shared" si="797"/>
        <v>1787645</v>
      </c>
      <c r="G261" s="64">
        <v>258720</v>
      </c>
      <c r="H261" s="64">
        <v>64680</v>
      </c>
      <c r="I261" s="63">
        <f t="shared" si="707"/>
        <v>347470</v>
      </c>
      <c r="J261" s="64">
        <v>0</v>
      </c>
      <c r="K261" s="64">
        <v>0</v>
      </c>
      <c r="L261" s="64">
        <v>0</v>
      </c>
      <c r="M261" s="64">
        <v>0</v>
      </c>
      <c r="N261" s="64">
        <f>87192+50000+50000</f>
        <v>187192</v>
      </c>
      <c r="O261" s="64">
        <f>60278+50000+50000</f>
        <v>160278</v>
      </c>
      <c r="P261" s="63">
        <f t="shared" si="708"/>
        <v>73750</v>
      </c>
      <c r="Q261" s="64">
        <v>1000</v>
      </c>
      <c r="R261" s="64">
        <v>72750</v>
      </c>
      <c r="S261" s="64">
        <v>0</v>
      </c>
      <c r="T261" s="64">
        <v>31277</v>
      </c>
      <c r="U261" s="63">
        <f t="shared" si="798"/>
        <v>200166</v>
      </c>
      <c r="V261" s="64">
        <v>71154</v>
      </c>
      <c r="W261" s="64">
        <v>2046</v>
      </c>
      <c r="X261" s="64">
        <v>83166</v>
      </c>
      <c r="Y261" s="64">
        <v>13923</v>
      </c>
      <c r="Z261" s="64">
        <v>3877</v>
      </c>
      <c r="AA261" s="64">
        <v>0</v>
      </c>
      <c r="AB261" s="64">
        <v>0</v>
      </c>
      <c r="AC261" s="64">
        <v>26000</v>
      </c>
      <c r="AD261" s="65">
        <v>0</v>
      </c>
      <c r="AE261" s="63">
        <f t="shared" si="799"/>
        <v>811582</v>
      </c>
      <c r="AF261" s="65">
        <v>0</v>
      </c>
      <c r="AG261" s="65">
        <v>0</v>
      </c>
      <c r="AH261" s="64">
        <v>48837</v>
      </c>
      <c r="AI261" s="64">
        <f>83792+45124+50000+50000</f>
        <v>228916</v>
      </c>
      <c r="AJ261" s="64">
        <v>0</v>
      </c>
      <c r="AK261" s="64">
        <v>1591</v>
      </c>
      <c r="AL261" s="64">
        <v>0</v>
      </c>
      <c r="AM261" s="64">
        <v>2587</v>
      </c>
      <c r="AN261" s="64">
        <v>81714</v>
      </c>
      <c r="AO261" s="64">
        <v>0</v>
      </c>
      <c r="AP261" s="64">
        <v>0</v>
      </c>
      <c r="AQ261" s="64"/>
      <c r="AR261" s="64">
        <v>0</v>
      </c>
      <c r="AS261" s="64">
        <v>0</v>
      </c>
      <c r="AT261" s="64">
        <v>0</v>
      </c>
      <c r="AU261" s="64">
        <v>0</v>
      </c>
      <c r="AV261" s="64">
        <v>0</v>
      </c>
      <c r="AW261" s="64">
        <v>0</v>
      </c>
      <c r="AX261" s="64">
        <v>0</v>
      </c>
      <c r="AY261" s="64">
        <v>109800</v>
      </c>
      <c r="AZ261" s="64">
        <v>0</v>
      </c>
      <c r="BA261" s="64">
        <v>338137</v>
      </c>
      <c r="BB261" s="63">
        <f t="shared" si="800"/>
        <v>0</v>
      </c>
      <c r="BC261" s="63">
        <f t="shared" si="801"/>
        <v>0</v>
      </c>
      <c r="BD261" s="63">
        <v>0</v>
      </c>
      <c r="BE261" s="63">
        <v>0</v>
      </c>
      <c r="BF261" s="63">
        <v>0</v>
      </c>
      <c r="BG261" s="63">
        <f t="shared" si="802"/>
        <v>0</v>
      </c>
      <c r="BH261" s="63">
        <v>0</v>
      </c>
      <c r="BI261" s="63">
        <v>0</v>
      </c>
      <c r="BJ261" s="63">
        <v>0</v>
      </c>
      <c r="BK261" s="63">
        <v>0</v>
      </c>
      <c r="BL261" s="63">
        <f t="shared" si="710"/>
        <v>0</v>
      </c>
      <c r="BM261" s="63">
        <v>0</v>
      </c>
      <c r="BN261" s="63">
        <v>0</v>
      </c>
      <c r="BO261" s="63">
        <f t="shared" si="803"/>
        <v>0</v>
      </c>
      <c r="BP261" s="63">
        <v>0</v>
      </c>
      <c r="BQ261" s="63">
        <v>0</v>
      </c>
      <c r="BR261" s="63">
        <v>0</v>
      </c>
      <c r="BS261" s="63">
        <v>0</v>
      </c>
      <c r="BT261" s="63">
        <v>0</v>
      </c>
      <c r="BU261" s="63">
        <v>0</v>
      </c>
      <c r="BV261" s="63">
        <v>0</v>
      </c>
      <c r="BW261" s="63">
        <v>0</v>
      </c>
      <c r="BX261" s="63">
        <v>0</v>
      </c>
      <c r="BY261" s="63">
        <v>0</v>
      </c>
      <c r="BZ261" s="63">
        <v>0</v>
      </c>
      <c r="CA261" s="63">
        <f t="shared" si="804"/>
        <v>257479</v>
      </c>
      <c r="CB261" s="63">
        <f t="shared" si="805"/>
        <v>257479</v>
      </c>
      <c r="CC261" s="63">
        <f t="shared" si="711"/>
        <v>257479</v>
      </c>
      <c r="CD261" s="65"/>
      <c r="CE261" s="64">
        <f>157479+50000+50000</f>
        <v>257479</v>
      </c>
      <c r="CF261" s="63">
        <f t="shared" si="806"/>
        <v>0</v>
      </c>
      <c r="CG261" s="63">
        <v>0</v>
      </c>
      <c r="CH261" s="63">
        <v>0</v>
      </c>
      <c r="CI261" s="63">
        <v>0</v>
      </c>
      <c r="CJ261" s="63">
        <v>0</v>
      </c>
      <c r="CK261" s="63">
        <v>0</v>
      </c>
      <c r="CL261" s="63">
        <f t="shared" si="807"/>
        <v>0</v>
      </c>
      <c r="CM261" s="65"/>
      <c r="CN261" s="65"/>
      <c r="CO261" s="63">
        <v>0</v>
      </c>
      <c r="CP261" s="63">
        <v>0</v>
      </c>
      <c r="CQ261" s="63">
        <v>0</v>
      </c>
      <c r="CR261" s="63"/>
      <c r="CS261" s="63"/>
      <c r="CT261" s="63">
        <v>0</v>
      </c>
      <c r="CU261" s="63"/>
      <c r="CV261" s="63"/>
      <c r="CW261" s="63"/>
      <c r="CX261" s="63">
        <f t="shared" si="712"/>
        <v>0</v>
      </c>
      <c r="CY261" s="63">
        <f t="shared" si="713"/>
        <v>0</v>
      </c>
      <c r="CZ261" s="63">
        <v>0</v>
      </c>
      <c r="DA261" s="66">
        <v>0</v>
      </c>
    </row>
    <row r="262" spans="1:106" s="87" customFormat="1" ht="31.5" x14ac:dyDescent="0.25">
      <c r="A262" s="75" t="s">
        <v>1</v>
      </c>
      <c r="B262" s="60" t="s">
        <v>98</v>
      </c>
      <c r="C262" s="61" t="s">
        <v>372</v>
      </c>
      <c r="D262" s="62">
        <f t="shared" si="795"/>
        <v>978716</v>
      </c>
      <c r="E262" s="63">
        <f t="shared" si="796"/>
        <v>698716</v>
      </c>
      <c r="F262" s="63">
        <f t="shared" si="797"/>
        <v>698716</v>
      </c>
      <c r="G262" s="64">
        <v>174008</v>
      </c>
      <c r="H262" s="64">
        <v>41777</v>
      </c>
      <c r="I262" s="63">
        <f t="shared" si="707"/>
        <v>246500</v>
      </c>
      <c r="J262" s="64"/>
      <c r="K262" s="64">
        <v>0</v>
      </c>
      <c r="L262" s="64">
        <v>0</v>
      </c>
      <c r="M262" s="64">
        <v>0</v>
      </c>
      <c r="N262" s="64">
        <v>16500</v>
      </c>
      <c r="O262" s="64">
        <f>168500+61500</f>
        <v>230000</v>
      </c>
      <c r="P262" s="63">
        <f t="shared" si="708"/>
        <v>1000</v>
      </c>
      <c r="Q262" s="64">
        <v>1000</v>
      </c>
      <c r="R262" s="64"/>
      <c r="S262" s="64">
        <v>0</v>
      </c>
      <c r="T262" s="64">
        <v>14000</v>
      </c>
      <c r="U262" s="63">
        <f t="shared" si="798"/>
        <v>78831</v>
      </c>
      <c r="V262" s="64">
        <f>21615+57216</f>
        <v>78831</v>
      </c>
      <c r="W262" s="64"/>
      <c r="X262" s="64"/>
      <c r="Y262" s="64"/>
      <c r="Z262" s="64"/>
      <c r="AA262" s="64"/>
      <c r="AB262" s="64">
        <v>0</v>
      </c>
      <c r="AC262" s="64"/>
      <c r="AD262" s="65">
        <v>0</v>
      </c>
      <c r="AE262" s="63">
        <f t="shared" si="799"/>
        <v>142600</v>
      </c>
      <c r="AF262" s="65">
        <v>0</v>
      </c>
      <c r="AG262" s="65">
        <v>0</v>
      </c>
      <c r="AH262" s="64">
        <v>10000</v>
      </c>
      <c r="AI262" s="64">
        <f>41000+50000</f>
        <v>91000</v>
      </c>
      <c r="AJ262" s="64">
        <v>600</v>
      </c>
      <c r="AK262" s="64"/>
      <c r="AL262" s="64">
        <v>0</v>
      </c>
      <c r="AM262" s="64">
        <v>1000</v>
      </c>
      <c r="AN262" s="64">
        <v>10000</v>
      </c>
      <c r="AO262" s="64">
        <v>0</v>
      </c>
      <c r="AP262" s="64">
        <v>0</v>
      </c>
      <c r="AQ262" s="64"/>
      <c r="AR262" s="64">
        <v>0</v>
      </c>
      <c r="AS262" s="64"/>
      <c r="AT262" s="64">
        <v>0</v>
      </c>
      <c r="AU262" s="64">
        <v>0</v>
      </c>
      <c r="AV262" s="64">
        <v>0</v>
      </c>
      <c r="AW262" s="64">
        <v>0</v>
      </c>
      <c r="AX262" s="64">
        <v>0</v>
      </c>
      <c r="AY262" s="64">
        <v>0</v>
      </c>
      <c r="AZ262" s="64">
        <v>0</v>
      </c>
      <c r="BA262" s="64">
        <f>20000+10000</f>
        <v>30000</v>
      </c>
      <c r="BB262" s="63">
        <f t="shared" si="800"/>
        <v>0</v>
      </c>
      <c r="BC262" s="63">
        <f t="shared" si="801"/>
        <v>0</v>
      </c>
      <c r="BD262" s="63">
        <v>0</v>
      </c>
      <c r="BE262" s="63">
        <v>0</v>
      </c>
      <c r="BF262" s="63">
        <v>0</v>
      </c>
      <c r="BG262" s="63">
        <f t="shared" si="802"/>
        <v>0</v>
      </c>
      <c r="BH262" s="63">
        <v>0</v>
      </c>
      <c r="BI262" s="63">
        <v>0</v>
      </c>
      <c r="BJ262" s="63">
        <v>0</v>
      </c>
      <c r="BK262" s="63">
        <v>0</v>
      </c>
      <c r="BL262" s="63">
        <f t="shared" si="710"/>
        <v>0</v>
      </c>
      <c r="BM262" s="63">
        <v>0</v>
      </c>
      <c r="BN262" s="63">
        <v>0</v>
      </c>
      <c r="BO262" s="63">
        <f t="shared" si="803"/>
        <v>0</v>
      </c>
      <c r="BP262" s="63">
        <v>0</v>
      </c>
      <c r="BQ262" s="63">
        <v>0</v>
      </c>
      <c r="BR262" s="63">
        <v>0</v>
      </c>
      <c r="BS262" s="63">
        <v>0</v>
      </c>
      <c r="BT262" s="63">
        <v>0</v>
      </c>
      <c r="BU262" s="63">
        <v>0</v>
      </c>
      <c r="BV262" s="63">
        <v>0</v>
      </c>
      <c r="BW262" s="63">
        <v>0</v>
      </c>
      <c r="BX262" s="63">
        <v>0</v>
      </c>
      <c r="BY262" s="63">
        <v>0</v>
      </c>
      <c r="BZ262" s="63">
        <v>0</v>
      </c>
      <c r="CA262" s="63">
        <f t="shared" si="804"/>
        <v>280000</v>
      </c>
      <c r="CB262" s="63">
        <f t="shared" si="805"/>
        <v>280000</v>
      </c>
      <c r="CC262" s="63">
        <f t="shared" si="711"/>
        <v>280000</v>
      </c>
      <c r="CD262" s="65"/>
      <c r="CE262" s="64">
        <v>280000</v>
      </c>
      <c r="CF262" s="63">
        <f t="shared" si="806"/>
        <v>0</v>
      </c>
      <c r="CG262" s="63">
        <v>0</v>
      </c>
      <c r="CH262" s="63">
        <v>0</v>
      </c>
      <c r="CI262" s="63">
        <v>0</v>
      </c>
      <c r="CJ262" s="63">
        <v>0</v>
      </c>
      <c r="CK262" s="63">
        <v>0</v>
      </c>
      <c r="CL262" s="63">
        <f t="shared" si="807"/>
        <v>0</v>
      </c>
      <c r="CM262" s="65"/>
      <c r="CN262" s="65"/>
      <c r="CO262" s="63">
        <v>0</v>
      </c>
      <c r="CP262" s="63">
        <v>0</v>
      </c>
      <c r="CQ262" s="63">
        <v>0</v>
      </c>
      <c r="CR262" s="63"/>
      <c r="CS262" s="63"/>
      <c r="CT262" s="63">
        <v>0</v>
      </c>
      <c r="CU262" s="63"/>
      <c r="CV262" s="63"/>
      <c r="CW262" s="63"/>
      <c r="CX262" s="63">
        <f t="shared" si="712"/>
        <v>0</v>
      </c>
      <c r="CY262" s="63">
        <f t="shared" si="713"/>
        <v>0</v>
      </c>
      <c r="CZ262" s="63">
        <v>0</v>
      </c>
      <c r="DA262" s="66">
        <v>0</v>
      </c>
    </row>
    <row r="263" spans="1:106" s="87" customFormat="1" ht="15.75" x14ac:dyDescent="0.25">
      <c r="A263" s="75"/>
      <c r="B263" s="68" t="s">
        <v>104</v>
      </c>
      <c r="C263" s="69" t="s">
        <v>574</v>
      </c>
      <c r="D263" s="62">
        <f t="shared" si="795"/>
        <v>1319396</v>
      </c>
      <c r="E263" s="63">
        <f t="shared" si="796"/>
        <v>1253609</v>
      </c>
      <c r="F263" s="63">
        <f t="shared" si="797"/>
        <v>1253609</v>
      </c>
      <c r="G263" s="64">
        <v>0</v>
      </c>
      <c r="H263" s="64">
        <v>0</v>
      </c>
      <c r="I263" s="63">
        <f t="shared" ref="I263" si="808">SUM(J263:O263)</f>
        <v>489678</v>
      </c>
      <c r="J263" s="64">
        <v>1000</v>
      </c>
      <c r="K263" s="64"/>
      <c r="L263" s="64"/>
      <c r="M263" s="64"/>
      <c r="N263" s="64">
        <v>273492</v>
      </c>
      <c r="O263" s="64">
        <v>215186</v>
      </c>
      <c r="P263" s="63">
        <f t="shared" ref="P263" si="809">SUM(Q263:R263)</f>
        <v>60000</v>
      </c>
      <c r="Q263" s="64"/>
      <c r="R263" s="64">
        <v>60000</v>
      </c>
      <c r="S263" s="64"/>
      <c r="T263" s="64">
        <v>75000</v>
      </c>
      <c r="U263" s="63">
        <f t="shared" ref="U263" si="810">SUM(V263:AC263)</f>
        <v>238835</v>
      </c>
      <c r="V263" s="64">
        <v>27000</v>
      </c>
      <c r="W263" s="64">
        <f>58830+9892+1899</f>
        <v>70621</v>
      </c>
      <c r="X263" s="64">
        <f>83678+8355+6467</f>
        <v>98500</v>
      </c>
      <c r="Y263" s="64">
        <f>15687+1149+1638</f>
        <v>18474</v>
      </c>
      <c r="Z263" s="64">
        <v>8114</v>
      </c>
      <c r="AA263" s="64">
        <v>12000</v>
      </c>
      <c r="AB263" s="64"/>
      <c r="AC263" s="64">
        <v>4126</v>
      </c>
      <c r="AD263" s="65"/>
      <c r="AE263" s="63">
        <f t="shared" si="799"/>
        <v>390096</v>
      </c>
      <c r="AF263" s="65"/>
      <c r="AG263" s="65"/>
      <c r="AH263" s="64">
        <v>85400</v>
      </c>
      <c r="AI263" s="64">
        <f>97000-10004</f>
        <v>86996</v>
      </c>
      <c r="AJ263" s="64"/>
      <c r="AK263" s="64">
        <v>19700</v>
      </c>
      <c r="AL263" s="64"/>
      <c r="AM263" s="64"/>
      <c r="AN263" s="64"/>
      <c r="AO263" s="64"/>
      <c r="AP263" s="64"/>
      <c r="AQ263" s="64"/>
      <c r="AR263" s="64"/>
      <c r="AS263" s="64">
        <v>48000</v>
      </c>
      <c r="AT263" s="64"/>
      <c r="AU263" s="64"/>
      <c r="AV263" s="64"/>
      <c r="AW263" s="64"/>
      <c r="AX263" s="64"/>
      <c r="AY263" s="64"/>
      <c r="AZ263" s="64"/>
      <c r="BA263" s="64">
        <v>150000</v>
      </c>
      <c r="BB263" s="63">
        <f t="shared" si="800"/>
        <v>0</v>
      </c>
      <c r="BC263" s="63">
        <f t="shared" ref="BC263" si="811">SUM(BD263:BF263)</f>
        <v>0</v>
      </c>
      <c r="BD263" s="63">
        <v>0</v>
      </c>
      <c r="BE263" s="63">
        <v>0</v>
      </c>
      <c r="BF263" s="63">
        <v>0</v>
      </c>
      <c r="BG263" s="63">
        <f t="shared" si="802"/>
        <v>0</v>
      </c>
      <c r="BH263" s="63">
        <v>0</v>
      </c>
      <c r="BI263" s="63">
        <v>0</v>
      </c>
      <c r="BJ263" s="63">
        <v>0</v>
      </c>
      <c r="BK263" s="63">
        <v>0</v>
      </c>
      <c r="BL263" s="63">
        <f t="shared" ref="BL263" si="812">SUM(BM263)</f>
        <v>0</v>
      </c>
      <c r="BM263" s="63">
        <v>0</v>
      </c>
      <c r="BN263" s="63">
        <v>0</v>
      </c>
      <c r="BO263" s="63">
        <f t="shared" si="803"/>
        <v>0</v>
      </c>
      <c r="BP263" s="63">
        <v>0</v>
      </c>
      <c r="BQ263" s="63">
        <v>0</v>
      </c>
      <c r="BR263" s="63">
        <v>0</v>
      </c>
      <c r="BS263" s="63">
        <v>0</v>
      </c>
      <c r="BT263" s="63">
        <v>0</v>
      </c>
      <c r="BU263" s="63">
        <v>0</v>
      </c>
      <c r="BV263" s="63">
        <v>0</v>
      </c>
      <c r="BW263" s="63">
        <v>0</v>
      </c>
      <c r="BX263" s="63">
        <v>0</v>
      </c>
      <c r="BY263" s="63">
        <v>0</v>
      </c>
      <c r="BZ263" s="63">
        <v>0</v>
      </c>
      <c r="CA263" s="63">
        <f t="shared" si="804"/>
        <v>65787</v>
      </c>
      <c r="CB263" s="63">
        <f t="shared" si="805"/>
        <v>65787</v>
      </c>
      <c r="CC263" s="63">
        <f t="shared" ref="CC263" si="813">SUM(CD263:CE263)</f>
        <v>65787</v>
      </c>
      <c r="CD263" s="65"/>
      <c r="CE263" s="64">
        <v>65787</v>
      </c>
      <c r="CF263" s="63">
        <f t="shared" si="806"/>
        <v>0</v>
      </c>
      <c r="CG263" s="63">
        <v>0</v>
      </c>
      <c r="CH263" s="63">
        <v>0</v>
      </c>
      <c r="CI263" s="63">
        <v>0</v>
      </c>
      <c r="CJ263" s="63">
        <v>0</v>
      </c>
      <c r="CK263" s="63">
        <v>0</v>
      </c>
      <c r="CL263" s="63">
        <f t="shared" si="807"/>
        <v>0</v>
      </c>
      <c r="CM263" s="65"/>
      <c r="CN263" s="65"/>
      <c r="CO263" s="63">
        <v>0</v>
      </c>
      <c r="CP263" s="63">
        <v>0</v>
      </c>
      <c r="CQ263" s="63">
        <v>0</v>
      </c>
      <c r="CR263" s="63"/>
      <c r="CS263" s="63"/>
      <c r="CT263" s="63">
        <v>0</v>
      </c>
      <c r="CU263" s="63"/>
      <c r="CV263" s="63"/>
      <c r="CW263" s="63"/>
      <c r="CX263" s="63">
        <f t="shared" ref="CX263" si="814">SUM(CY263)</f>
        <v>0</v>
      </c>
      <c r="CY263" s="63">
        <f t="shared" ref="CY263" si="815">SUM(CZ263:DA263)</f>
        <v>0</v>
      </c>
      <c r="CZ263" s="63">
        <v>0</v>
      </c>
      <c r="DA263" s="66">
        <v>0</v>
      </c>
    </row>
    <row r="264" spans="1:106" s="87" customFormat="1" ht="15.75" x14ac:dyDescent="0.25">
      <c r="A264" s="75" t="s">
        <v>1</v>
      </c>
      <c r="B264" s="68" t="s">
        <v>104</v>
      </c>
      <c r="C264" s="69" t="s">
        <v>575</v>
      </c>
      <c r="D264" s="62">
        <f t="shared" si="795"/>
        <v>901917</v>
      </c>
      <c r="E264" s="63">
        <f t="shared" si="796"/>
        <v>400933</v>
      </c>
      <c r="F264" s="63">
        <f t="shared" si="797"/>
        <v>400933</v>
      </c>
      <c r="G264" s="64">
        <v>0</v>
      </c>
      <c r="H264" s="64">
        <v>0</v>
      </c>
      <c r="I264" s="63">
        <f t="shared" si="707"/>
        <v>194073</v>
      </c>
      <c r="J264" s="64"/>
      <c r="K264" s="64"/>
      <c r="L264" s="64"/>
      <c r="M264" s="64"/>
      <c r="N264" s="64">
        <v>77404</v>
      </c>
      <c r="O264" s="64">
        <f>69926+50318-3575</f>
        <v>116669</v>
      </c>
      <c r="P264" s="63">
        <f t="shared" si="708"/>
        <v>1933</v>
      </c>
      <c r="Q264" s="64"/>
      <c r="R264" s="64">
        <v>1933</v>
      </c>
      <c r="S264" s="64">
        <v>15402</v>
      </c>
      <c r="T264" s="64">
        <f>28195+663</f>
        <v>28858</v>
      </c>
      <c r="U264" s="63">
        <f t="shared" si="798"/>
        <v>68706</v>
      </c>
      <c r="V264" s="64">
        <v>6431</v>
      </c>
      <c r="W264" s="64">
        <f>27677+4529</f>
        <v>32206</v>
      </c>
      <c r="X264" s="64">
        <f>19141+3141</f>
        <v>22282</v>
      </c>
      <c r="Y264" s="64">
        <f>3980+434</f>
        <v>4414</v>
      </c>
      <c r="Z264" s="64">
        <v>3373</v>
      </c>
      <c r="AA264" s="64"/>
      <c r="AB264" s="64"/>
      <c r="AC264" s="64"/>
      <c r="AD264" s="65"/>
      <c r="AE264" s="63">
        <f t="shared" si="799"/>
        <v>91961</v>
      </c>
      <c r="AF264" s="65"/>
      <c r="AG264" s="65"/>
      <c r="AH264" s="64">
        <v>9936</v>
      </c>
      <c r="AI264" s="64">
        <v>6151</v>
      </c>
      <c r="AJ264" s="64"/>
      <c r="AK264" s="64">
        <v>4985</v>
      </c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>
        <f>50889+20000</f>
        <v>70889</v>
      </c>
      <c r="BB264" s="63">
        <f t="shared" si="800"/>
        <v>0</v>
      </c>
      <c r="BC264" s="63">
        <f t="shared" si="801"/>
        <v>0</v>
      </c>
      <c r="BD264" s="63">
        <v>0</v>
      </c>
      <c r="BE264" s="63">
        <v>0</v>
      </c>
      <c r="BF264" s="63">
        <v>0</v>
      </c>
      <c r="BG264" s="63">
        <f t="shared" si="802"/>
        <v>0</v>
      </c>
      <c r="BH264" s="63">
        <v>0</v>
      </c>
      <c r="BI264" s="63">
        <v>0</v>
      </c>
      <c r="BJ264" s="63">
        <v>0</v>
      </c>
      <c r="BK264" s="63">
        <v>0</v>
      </c>
      <c r="BL264" s="63">
        <f t="shared" si="710"/>
        <v>0</v>
      </c>
      <c r="BM264" s="63">
        <v>0</v>
      </c>
      <c r="BN264" s="63">
        <v>0</v>
      </c>
      <c r="BO264" s="63">
        <f t="shared" si="803"/>
        <v>0</v>
      </c>
      <c r="BP264" s="63">
        <v>0</v>
      </c>
      <c r="BQ264" s="63">
        <v>0</v>
      </c>
      <c r="BR264" s="63">
        <v>0</v>
      </c>
      <c r="BS264" s="63">
        <v>0</v>
      </c>
      <c r="BT264" s="63">
        <v>0</v>
      </c>
      <c r="BU264" s="63">
        <v>0</v>
      </c>
      <c r="BV264" s="63">
        <v>0</v>
      </c>
      <c r="BW264" s="63">
        <v>0</v>
      </c>
      <c r="BX264" s="63">
        <v>0</v>
      </c>
      <c r="BY264" s="63">
        <v>0</v>
      </c>
      <c r="BZ264" s="63">
        <v>0</v>
      </c>
      <c r="CA264" s="63">
        <f t="shared" si="804"/>
        <v>500984</v>
      </c>
      <c r="CB264" s="63">
        <f t="shared" si="805"/>
        <v>500984</v>
      </c>
      <c r="CC264" s="63">
        <f t="shared" si="711"/>
        <v>161015</v>
      </c>
      <c r="CD264" s="65"/>
      <c r="CE264" s="64">
        <f>61015+100000</f>
        <v>161015</v>
      </c>
      <c r="CF264" s="63">
        <f t="shared" si="806"/>
        <v>0</v>
      </c>
      <c r="CG264" s="63">
        <v>0</v>
      </c>
      <c r="CH264" s="63">
        <v>0</v>
      </c>
      <c r="CI264" s="63">
        <v>0</v>
      </c>
      <c r="CJ264" s="63">
        <v>0</v>
      </c>
      <c r="CK264" s="63">
        <v>0</v>
      </c>
      <c r="CL264" s="63">
        <f t="shared" si="807"/>
        <v>339969</v>
      </c>
      <c r="CM264" s="64">
        <v>0</v>
      </c>
      <c r="CN264" s="64">
        <v>339969</v>
      </c>
      <c r="CO264" s="63">
        <v>0</v>
      </c>
      <c r="CP264" s="63">
        <v>0</v>
      </c>
      <c r="CQ264" s="63">
        <v>0</v>
      </c>
      <c r="CR264" s="63"/>
      <c r="CS264" s="63"/>
      <c r="CT264" s="63">
        <v>0</v>
      </c>
      <c r="CU264" s="63"/>
      <c r="CV264" s="63"/>
      <c r="CW264" s="63"/>
      <c r="CX264" s="63">
        <f t="shared" si="712"/>
        <v>0</v>
      </c>
      <c r="CY264" s="63">
        <f t="shared" si="713"/>
        <v>0</v>
      </c>
      <c r="CZ264" s="63">
        <v>0</v>
      </c>
      <c r="DA264" s="66">
        <v>0</v>
      </c>
    </row>
    <row r="265" spans="1:106" s="86" customFormat="1" ht="15.75" x14ac:dyDescent="0.25">
      <c r="A265" s="71" t="s">
        <v>320</v>
      </c>
      <c r="B265" s="16" t="s">
        <v>1</v>
      </c>
      <c r="C265" s="17" t="s">
        <v>321</v>
      </c>
      <c r="D265" s="18">
        <f t="shared" ref="D265:AP265" si="816">SUM(D266:D281)</f>
        <v>103621748</v>
      </c>
      <c r="E265" s="18">
        <f t="shared" si="816"/>
        <v>2147876</v>
      </c>
      <c r="F265" s="18">
        <f t="shared" si="816"/>
        <v>2147876</v>
      </c>
      <c r="G265" s="18">
        <f t="shared" si="816"/>
        <v>0</v>
      </c>
      <c r="H265" s="18">
        <f t="shared" si="816"/>
        <v>0</v>
      </c>
      <c r="I265" s="18">
        <f t="shared" si="816"/>
        <v>0</v>
      </c>
      <c r="J265" s="18">
        <f t="shared" si="816"/>
        <v>0</v>
      </c>
      <c r="K265" s="18">
        <f t="shared" si="816"/>
        <v>0</v>
      </c>
      <c r="L265" s="18">
        <f t="shared" si="816"/>
        <v>0</v>
      </c>
      <c r="M265" s="18">
        <f t="shared" si="816"/>
        <v>0</v>
      </c>
      <c r="N265" s="18">
        <f t="shared" si="816"/>
        <v>0</v>
      </c>
      <c r="O265" s="18">
        <f t="shared" si="816"/>
        <v>0</v>
      </c>
      <c r="P265" s="18">
        <f t="shared" si="816"/>
        <v>0</v>
      </c>
      <c r="Q265" s="18">
        <f t="shared" si="816"/>
        <v>0</v>
      </c>
      <c r="R265" s="18">
        <f t="shared" si="816"/>
        <v>0</v>
      </c>
      <c r="S265" s="18">
        <f t="shared" si="816"/>
        <v>0</v>
      </c>
      <c r="T265" s="18">
        <f t="shared" si="816"/>
        <v>0</v>
      </c>
      <c r="U265" s="18">
        <f t="shared" si="816"/>
        <v>0</v>
      </c>
      <c r="V265" s="18">
        <f t="shared" si="816"/>
        <v>0</v>
      </c>
      <c r="W265" s="18">
        <f t="shared" si="816"/>
        <v>0</v>
      </c>
      <c r="X265" s="18">
        <f t="shared" si="816"/>
        <v>0</v>
      </c>
      <c r="Y265" s="18">
        <f t="shared" si="816"/>
        <v>0</v>
      </c>
      <c r="Z265" s="18">
        <f t="shared" si="816"/>
        <v>0</v>
      </c>
      <c r="AA265" s="18">
        <f t="shared" si="816"/>
        <v>0</v>
      </c>
      <c r="AB265" s="18">
        <f t="shared" si="816"/>
        <v>0</v>
      </c>
      <c r="AC265" s="18">
        <f t="shared" si="816"/>
        <v>0</v>
      </c>
      <c r="AD265" s="18">
        <f t="shared" ref="AD265" si="817">SUM(AD266:AD281)</f>
        <v>0</v>
      </c>
      <c r="AE265" s="18">
        <f t="shared" si="816"/>
        <v>2147876</v>
      </c>
      <c r="AF265" s="18">
        <f t="shared" si="816"/>
        <v>0</v>
      </c>
      <c r="AG265" s="18">
        <f t="shared" si="816"/>
        <v>0</v>
      </c>
      <c r="AH265" s="18">
        <f t="shared" si="816"/>
        <v>0</v>
      </c>
      <c r="AI265" s="18">
        <f t="shared" si="816"/>
        <v>0</v>
      </c>
      <c r="AJ265" s="18">
        <f t="shared" si="816"/>
        <v>0</v>
      </c>
      <c r="AK265" s="18">
        <f t="shared" si="816"/>
        <v>0</v>
      </c>
      <c r="AL265" s="18">
        <f t="shared" si="816"/>
        <v>0</v>
      </c>
      <c r="AM265" s="18">
        <f t="shared" si="816"/>
        <v>0</v>
      </c>
      <c r="AN265" s="18">
        <f t="shared" si="816"/>
        <v>0</v>
      </c>
      <c r="AO265" s="18">
        <f t="shared" si="816"/>
        <v>0</v>
      </c>
      <c r="AP265" s="18">
        <f t="shared" si="816"/>
        <v>0</v>
      </c>
      <c r="AQ265" s="18"/>
      <c r="AR265" s="18">
        <f t="shared" ref="AR265:AY265" si="818">SUM(AR266:AR281)</f>
        <v>0</v>
      </c>
      <c r="AS265" s="18">
        <f t="shared" si="818"/>
        <v>0</v>
      </c>
      <c r="AT265" s="18">
        <f t="shared" si="818"/>
        <v>0</v>
      </c>
      <c r="AU265" s="18">
        <f t="shared" si="818"/>
        <v>0</v>
      </c>
      <c r="AV265" s="18">
        <f t="shared" si="818"/>
        <v>0</v>
      </c>
      <c r="AW265" s="18">
        <f t="shared" si="818"/>
        <v>0</v>
      </c>
      <c r="AX265" s="18">
        <f t="shared" si="818"/>
        <v>0</v>
      </c>
      <c r="AY265" s="18">
        <f t="shared" si="818"/>
        <v>0</v>
      </c>
      <c r="AZ265" s="18"/>
      <c r="BA265" s="18">
        <f t="shared" ref="BA265:CO265" si="819">SUM(BA266:BA281)</f>
        <v>2147876</v>
      </c>
      <c r="BB265" s="18">
        <f t="shared" si="819"/>
        <v>0</v>
      </c>
      <c r="BC265" s="18">
        <f t="shared" si="819"/>
        <v>0</v>
      </c>
      <c r="BD265" s="18">
        <f t="shared" si="819"/>
        <v>0</v>
      </c>
      <c r="BE265" s="18">
        <f t="shared" si="819"/>
        <v>0</v>
      </c>
      <c r="BF265" s="18">
        <f t="shared" si="819"/>
        <v>0</v>
      </c>
      <c r="BG265" s="18">
        <f t="shared" si="819"/>
        <v>0</v>
      </c>
      <c r="BH265" s="18">
        <f t="shared" si="819"/>
        <v>0</v>
      </c>
      <c r="BI265" s="18">
        <f t="shared" si="819"/>
        <v>0</v>
      </c>
      <c r="BJ265" s="18">
        <f t="shared" si="819"/>
        <v>0</v>
      </c>
      <c r="BK265" s="18">
        <f t="shared" si="819"/>
        <v>0</v>
      </c>
      <c r="BL265" s="18">
        <f t="shared" si="819"/>
        <v>0</v>
      </c>
      <c r="BM265" s="18">
        <f t="shared" si="819"/>
        <v>0</v>
      </c>
      <c r="BN265" s="18">
        <f t="shared" si="819"/>
        <v>0</v>
      </c>
      <c r="BO265" s="18">
        <f t="shared" si="819"/>
        <v>0</v>
      </c>
      <c r="BP265" s="18">
        <f t="shared" si="819"/>
        <v>0</v>
      </c>
      <c r="BQ265" s="18">
        <f t="shared" si="819"/>
        <v>0</v>
      </c>
      <c r="BR265" s="18">
        <f t="shared" si="819"/>
        <v>0</v>
      </c>
      <c r="BS265" s="18">
        <f t="shared" si="819"/>
        <v>0</v>
      </c>
      <c r="BT265" s="18">
        <f t="shared" si="819"/>
        <v>0</v>
      </c>
      <c r="BU265" s="18">
        <f t="shared" si="819"/>
        <v>0</v>
      </c>
      <c r="BV265" s="18">
        <f t="shared" si="819"/>
        <v>0</v>
      </c>
      <c r="BW265" s="18">
        <f t="shared" si="819"/>
        <v>0</v>
      </c>
      <c r="BX265" s="18">
        <f t="shared" si="819"/>
        <v>0</v>
      </c>
      <c r="BY265" s="18">
        <f t="shared" si="819"/>
        <v>0</v>
      </c>
      <c r="BZ265" s="18">
        <f t="shared" si="819"/>
        <v>0</v>
      </c>
      <c r="CA265" s="18">
        <f t="shared" si="819"/>
        <v>101473872</v>
      </c>
      <c r="CB265" s="18">
        <f t="shared" si="819"/>
        <v>0</v>
      </c>
      <c r="CC265" s="18">
        <f t="shared" si="819"/>
        <v>0</v>
      </c>
      <c r="CD265" s="18">
        <f t="shared" si="819"/>
        <v>0</v>
      </c>
      <c r="CE265" s="18">
        <f t="shared" si="819"/>
        <v>0</v>
      </c>
      <c r="CF265" s="18">
        <f t="shared" si="819"/>
        <v>0</v>
      </c>
      <c r="CG265" s="18">
        <f t="shared" si="819"/>
        <v>0</v>
      </c>
      <c r="CH265" s="18">
        <f t="shared" si="819"/>
        <v>0</v>
      </c>
      <c r="CI265" s="18">
        <f t="shared" si="819"/>
        <v>0</v>
      </c>
      <c r="CJ265" s="18">
        <f t="shared" si="819"/>
        <v>0</v>
      </c>
      <c r="CK265" s="18">
        <f t="shared" si="819"/>
        <v>0</v>
      </c>
      <c r="CL265" s="18">
        <f t="shared" si="819"/>
        <v>0</v>
      </c>
      <c r="CM265" s="18">
        <f t="shared" si="819"/>
        <v>0</v>
      </c>
      <c r="CN265" s="18">
        <f t="shared" si="819"/>
        <v>0</v>
      </c>
      <c r="CO265" s="18">
        <f t="shared" si="819"/>
        <v>0</v>
      </c>
      <c r="CP265" s="18"/>
      <c r="CQ265" s="18"/>
      <c r="CR265" s="18"/>
      <c r="CS265" s="18"/>
      <c r="CT265" s="38">
        <f>SUM(CT266:CT281)</f>
        <v>101473872</v>
      </c>
      <c r="CU265" s="38">
        <f t="shared" ref="CU265:CW265" si="820">SUM(CU266:CU281)</f>
        <v>0</v>
      </c>
      <c r="CV265" s="38">
        <f t="shared" si="820"/>
        <v>0</v>
      </c>
      <c r="CW265" s="38">
        <f t="shared" si="820"/>
        <v>0</v>
      </c>
      <c r="CX265" s="18">
        <f>SUM(CX266:CX281)</f>
        <v>0</v>
      </c>
      <c r="CY265" s="18">
        <f>SUM(CY266:CY281)</f>
        <v>0</v>
      </c>
      <c r="CZ265" s="18">
        <f>SUM(CZ266:CZ281)</f>
        <v>0</v>
      </c>
      <c r="DA265" s="46">
        <f>SUM(DA266:DA281)</f>
        <v>0</v>
      </c>
      <c r="DB265" s="85"/>
    </row>
    <row r="266" spans="1:106" ht="15.75" x14ac:dyDescent="0.25">
      <c r="A266" s="72" t="s">
        <v>1</v>
      </c>
      <c r="B266" s="21" t="s">
        <v>80</v>
      </c>
      <c r="C266" s="22" t="s">
        <v>522</v>
      </c>
      <c r="D266" s="18">
        <f t="shared" ref="D266:D281" si="821">SUM(E266+CA266+CX266)</f>
        <v>815000</v>
      </c>
      <c r="E266" s="19">
        <f t="shared" ref="E266:E281" si="822">SUM(F266+BB266)</f>
        <v>815000</v>
      </c>
      <c r="F266" s="19">
        <f t="shared" ref="F266:F281" si="823">SUM(G266+H266+I266+P266+S266+T266+U266+AE266)</f>
        <v>815000</v>
      </c>
      <c r="G266" s="19">
        <v>0</v>
      </c>
      <c r="H266" s="19">
        <v>0</v>
      </c>
      <c r="I266" s="19">
        <f>SUM(J266:O266)</f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19">
        <f>SUM(Q266:R266)</f>
        <v>0</v>
      </c>
      <c r="Q266" s="19">
        <v>0</v>
      </c>
      <c r="R266" s="19">
        <v>0</v>
      </c>
      <c r="S266" s="19">
        <v>0</v>
      </c>
      <c r="T266" s="19">
        <v>0</v>
      </c>
      <c r="U266" s="19">
        <f t="shared" ref="U266" si="824">SUM(V266:AC266)</f>
        <v>0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0</v>
      </c>
      <c r="AB266" s="19">
        <v>0</v>
      </c>
      <c r="AC266" s="19">
        <v>0</v>
      </c>
      <c r="AD266" s="19">
        <v>0</v>
      </c>
      <c r="AE266" s="19">
        <f t="shared" ref="AE266:AE272" si="825">SUM(AF266:BA266)</f>
        <v>815000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/>
      <c r="AR266" s="19">
        <v>0</v>
      </c>
      <c r="AS266" s="19">
        <v>0</v>
      </c>
      <c r="AT266" s="19">
        <v>0</v>
      </c>
      <c r="AU266" s="19">
        <v>0</v>
      </c>
      <c r="AV266" s="19">
        <v>0</v>
      </c>
      <c r="AW266" s="19">
        <v>0</v>
      </c>
      <c r="AX266" s="19">
        <v>0</v>
      </c>
      <c r="AY266" s="19">
        <v>0</v>
      </c>
      <c r="AZ266" s="19">
        <v>0</v>
      </c>
      <c r="BA266" s="23">
        <f>205000+610000</f>
        <v>815000</v>
      </c>
      <c r="BB266" s="19">
        <f t="shared" ref="BB266:BB272" si="826">SUM(BC266+BG266+BJ266+BL266+BO266)</f>
        <v>0</v>
      </c>
      <c r="BC266" s="19">
        <f t="shared" ref="BC266" si="827">SUM(BD266:BF266)</f>
        <v>0</v>
      </c>
      <c r="BD266" s="19">
        <v>0</v>
      </c>
      <c r="BE266" s="19">
        <v>0</v>
      </c>
      <c r="BF266" s="19">
        <v>0</v>
      </c>
      <c r="BG266" s="19">
        <f t="shared" ref="BG266" si="828">SUM(BI266:BI266)</f>
        <v>0</v>
      </c>
      <c r="BH266" s="19">
        <v>0</v>
      </c>
      <c r="BI266" s="19">
        <v>0</v>
      </c>
      <c r="BJ266" s="19">
        <v>0</v>
      </c>
      <c r="BK266" s="19">
        <v>0</v>
      </c>
      <c r="BL266" s="19">
        <f>SUM(BM266)</f>
        <v>0</v>
      </c>
      <c r="BM266" s="19">
        <v>0</v>
      </c>
      <c r="BN266" s="19">
        <v>0</v>
      </c>
      <c r="BO266" s="19">
        <f t="shared" ref="BO266:BO281" si="829">SUM(BP266:BZ266)</f>
        <v>0</v>
      </c>
      <c r="BP266" s="19">
        <v>0</v>
      </c>
      <c r="BQ266" s="19">
        <v>0</v>
      </c>
      <c r="BR266" s="19">
        <v>0</v>
      </c>
      <c r="BS266" s="19">
        <v>0</v>
      </c>
      <c r="BT266" s="19">
        <v>0</v>
      </c>
      <c r="BU266" s="19">
        <v>0</v>
      </c>
      <c r="BV266" s="19">
        <v>0</v>
      </c>
      <c r="BW266" s="19">
        <v>0</v>
      </c>
      <c r="BX266" s="19">
        <v>0</v>
      </c>
      <c r="BY266" s="19">
        <v>0</v>
      </c>
      <c r="BZ266" s="19">
        <v>0</v>
      </c>
      <c r="CA266" s="19">
        <f t="shared" ref="CA266:CA272" si="830">SUM(CB266+CT266)</f>
        <v>0</v>
      </c>
      <c r="CB266" s="19">
        <f t="shared" ref="CB266:CB272" si="831">SUM(CC266+CF266+CL266)</f>
        <v>0</v>
      </c>
      <c r="CC266" s="19">
        <f>SUM(CD266:CE266)</f>
        <v>0</v>
      </c>
      <c r="CD266" s="19">
        <v>0</v>
      </c>
      <c r="CE266" s="19">
        <v>0</v>
      </c>
      <c r="CF266" s="19">
        <f t="shared" ref="CF266:CF281" si="832">SUM(CG266:CK266)</f>
        <v>0</v>
      </c>
      <c r="CG266" s="19">
        <v>0</v>
      </c>
      <c r="CH266" s="19">
        <v>0</v>
      </c>
      <c r="CI266" s="19">
        <v>0</v>
      </c>
      <c r="CJ266" s="19">
        <v>0</v>
      </c>
      <c r="CK266" s="19">
        <v>0</v>
      </c>
      <c r="CL266" s="19">
        <f t="shared" ref="CL266" si="833">SUM(CM266:CQ266)</f>
        <v>0</v>
      </c>
      <c r="CM266" s="19">
        <v>0</v>
      </c>
      <c r="CN266" s="19">
        <v>0</v>
      </c>
      <c r="CO266" s="19">
        <v>0</v>
      </c>
      <c r="CP266" s="19">
        <v>0</v>
      </c>
      <c r="CQ266" s="19">
        <v>0</v>
      </c>
      <c r="CR266" s="19"/>
      <c r="CS266" s="19"/>
      <c r="CT266" s="39">
        <v>0</v>
      </c>
      <c r="CU266" s="39"/>
      <c r="CV266" s="39"/>
      <c r="CW266" s="39"/>
      <c r="CX266" s="19">
        <f>SUM(CY266)</f>
        <v>0</v>
      </c>
      <c r="CY266" s="19">
        <f>SUM(CZ266:DA266)</f>
        <v>0</v>
      </c>
      <c r="CZ266" s="19">
        <v>0</v>
      </c>
      <c r="DA266" s="20">
        <v>0</v>
      </c>
    </row>
    <row r="267" spans="1:106" ht="31.5" x14ac:dyDescent="0.25">
      <c r="A267" s="72" t="s">
        <v>1</v>
      </c>
      <c r="B267" s="21" t="s">
        <v>80</v>
      </c>
      <c r="C267" s="22" t="s">
        <v>618</v>
      </c>
      <c r="D267" s="18">
        <f t="shared" si="821"/>
        <v>7353388</v>
      </c>
      <c r="E267" s="19">
        <f t="shared" si="822"/>
        <v>0</v>
      </c>
      <c r="F267" s="19">
        <f t="shared" si="823"/>
        <v>0</v>
      </c>
      <c r="G267" s="19">
        <v>0</v>
      </c>
      <c r="H267" s="19">
        <v>0</v>
      </c>
      <c r="I267" s="19">
        <f>SUM(J267:O267)</f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f>SUM(Q267:R267)</f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f t="shared" ref="U267" si="834">SUM(V267:AC267)</f>
        <v>0</v>
      </c>
      <c r="V267" s="19">
        <v>0</v>
      </c>
      <c r="W267" s="19">
        <v>0</v>
      </c>
      <c r="X267" s="19">
        <v>0</v>
      </c>
      <c r="Y267" s="19">
        <v>0</v>
      </c>
      <c r="Z267" s="19">
        <v>0</v>
      </c>
      <c r="AA267" s="19">
        <v>0</v>
      </c>
      <c r="AB267" s="19">
        <v>0</v>
      </c>
      <c r="AC267" s="19">
        <v>0</v>
      </c>
      <c r="AD267" s="19">
        <v>0</v>
      </c>
      <c r="AE267" s="19">
        <f t="shared" si="825"/>
        <v>0</v>
      </c>
      <c r="AF267" s="19">
        <v>0</v>
      </c>
      <c r="AG267" s="19">
        <v>0</v>
      </c>
      <c r="AH267" s="19">
        <v>0</v>
      </c>
      <c r="AI267" s="19">
        <v>0</v>
      </c>
      <c r="AJ267" s="19">
        <v>0</v>
      </c>
      <c r="AK267" s="19">
        <v>0</v>
      </c>
      <c r="AL267" s="19">
        <v>0</v>
      </c>
      <c r="AM267" s="19">
        <v>0</v>
      </c>
      <c r="AN267" s="19">
        <v>0</v>
      </c>
      <c r="AO267" s="19">
        <v>0</v>
      </c>
      <c r="AP267" s="19">
        <v>0</v>
      </c>
      <c r="AQ267" s="19"/>
      <c r="AR267" s="19">
        <v>0</v>
      </c>
      <c r="AS267" s="19">
        <v>0</v>
      </c>
      <c r="AT267" s="19">
        <v>0</v>
      </c>
      <c r="AU267" s="19">
        <v>0</v>
      </c>
      <c r="AV267" s="19">
        <v>0</v>
      </c>
      <c r="AW267" s="19">
        <v>0</v>
      </c>
      <c r="AX267" s="19">
        <v>0</v>
      </c>
      <c r="AY267" s="19">
        <v>0</v>
      </c>
      <c r="AZ267" s="19">
        <v>0</v>
      </c>
      <c r="BA267" s="23"/>
      <c r="BB267" s="19">
        <f t="shared" si="826"/>
        <v>0</v>
      </c>
      <c r="BC267" s="19">
        <f t="shared" ref="BC267" si="835">SUM(BD267:BF267)</f>
        <v>0</v>
      </c>
      <c r="BD267" s="19">
        <v>0</v>
      </c>
      <c r="BE267" s="19">
        <v>0</v>
      </c>
      <c r="BF267" s="19">
        <v>0</v>
      </c>
      <c r="BG267" s="19">
        <f t="shared" ref="BG267" si="836">SUM(BI267:BI267)</f>
        <v>0</v>
      </c>
      <c r="BH267" s="19">
        <v>0</v>
      </c>
      <c r="BI267" s="19">
        <v>0</v>
      </c>
      <c r="BJ267" s="19">
        <v>0</v>
      </c>
      <c r="BK267" s="19">
        <v>0</v>
      </c>
      <c r="BL267" s="19">
        <f>SUM(BM267)</f>
        <v>0</v>
      </c>
      <c r="BM267" s="19">
        <v>0</v>
      </c>
      <c r="BN267" s="19">
        <v>0</v>
      </c>
      <c r="BO267" s="19">
        <f t="shared" ref="BO267" si="837">SUM(BP267:BZ267)</f>
        <v>0</v>
      </c>
      <c r="BP267" s="19">
        <v>0</v>
      </c>
      <c r="BQ267" s="19">
        <v>0</v>
      </c>
      <c r="BR267" s="19">
        <v>0</v>
      </c>
      <c r="BS267" s="19">
        <v>0</v>
      </c>
      <c r="BT267" s="19">
        <v>0</v>
      </c>
      <c r="BU267" s="19">
        <v>0</v>
      </c>
      <c r="BV267" s="19">
        <v>0</v>
      </c>
      <c r="BW267" s="19">
        <v>0</v>
      </c>
      <c r="BX267" s="19">
        <v>0</v>
      </c>
      <c r="BY267" s="19">
        <v>0</v>
      </c>
      <c r="BZ267" s="19">
        <v>0</v>
      </c>
      <c r="CA267" s="19">
        <f t="shared" si="830"/>
        <v>7353388</v>
      </c>
      <c r="CB267" s="19">
        <f t="shared" si="831"/>
        <v>0</v>
      </c>
      <c r="CC267" s="19">
        <f>SUM(CD267:CE267)</f>
        <v>0</v>
      </c>
      <c r="CD267" s="19">
        <v>0</v>
      </c>
      <c r="CE267" s="19">
        <v>0</v>
      </c>
      <c r="CF267" s="19">
        <f t="shared" ref="CF267" si="838">SUM(CG267:CK267)</f>
        <v>0</v>
      </c>
      <c r="CG267" s="19">
        <v>0</v>
      </c>
      <c r="CH267" s="19">
        <v>0</v>
      </c>
      <c r="CI267" s="19">
        <v>0</v>
      </c>
      <c r="CJ267" s="19">
        <v>0</v>
      </c>
      <c r="CK267" s="19">
        <v>0</v>
      </c>
      <c r="CL267" s="19">
        <f t="shared" ref="CL267" si="839">SUM(CM267:CQ267)</f>
        <v>0</v>
      </c>
      <c r="CM267" s="19">
        <v>0</v>
      </c>
      <c r="CN267" s="19">
        <v>0</v>
      </c>
      <c r="CO267" s="19">
        <v>0</v>
      </c>
      <c r="CP267" s="19">
        <v>0</v>
      </c>
      <c r="CQ267" s="19">
        <v>0</v>
      </c>
      <c r="CR267" s="19"/>
      <c r="CS267" s="19"/>
      <c r="CT267" s="39">
        <f>0+7353388</f>
        <v>7353388</v>
      </c>
      <c r="CU267" s="39"/>
      <c r="CV267" s="39"/>
      <c r="CW267" s="39"/>
      <c r="CX267" s="19">
        <f>SUM(CY267)</f>
        <v>0</v>
      </c>
      <c r="CY267" s="19">
        <f>SUM(CZ267:DA267)</f>
        <v>0</v>
      </c>
      <c r="CZ267" s="19">
        <v>0</v>
      </c>
      <c r="DA267" s="20">
        <v>0</v>
      </c>
    </row>
    <row r="268" spans="1:106" ht="47.25" x14ac:dyDescent="0.25">
      <c r="A268" s="72" t="s">
        <v>1</v>
      </c>
      <c r="B268" s="21" t="s">
        <v>80</v>
      </c>
      <c r="C268" s="22" t="s">
        <v>644</v>
      </c>
      <c r="D268" s="18">
        <f t="shared" ref="D268" si="840">SUM(E268+CA268+CX268)</f>
        <v>1395527</v>
      </c>
      <c r="E268" s="19">
        <f t="shared" ref="E268" si="841">SUM(F268+BB268)</f>
        <v>0</v>
      </c>
      <c r="F268" s="19">
        <f t="shared" ref="F268" si="842">SUM(G268+H268+I268+P268+S268+T268+U268+AE268)</f>
        <v>0</v>
      </c>
      <c r="G268" s="19">
        <v>0</v>
      </c>
      <c r="H268" s="19">
        <v>0</v>
      </c>
      <c r="I268" s="19">
        <f>SUM(J268:O268)</f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f>SUM(Q268:R268)</f>
        <v>0</v>
      </c>
      <c r="Q268" s="19">
        <v>0</v>
      </c>
      <c r="R268" s="19">
        <v>0</v>
      </c>
      <c r="S268" s="19">
        <v>0</v>
      </c>
      <c r="T268" s="19">
        <v>0</v>
      </c>
      <c r="U268" s="19">
        <f t="shared" ref="U268" si="843">SUM(V268:AC268)</f>
        <v>0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0</v>
      </c>
      <c r="AB268" s="19">
        <v>0</v>
      </c>
      <c r="AC268" s="19">
        <v>0</v>
      </c>
      <c r="AD268" s="19">
        <v>0</v>
      </c>
      <c r="AE268" s="19">
        <f t="shared" ref="AE268" si="844">SUM(AF268:BA268)</f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/>
      <c r="AR268" s="19">
        <v>0</v>
      </c>
      <c r="AS268" s="19">
        <v>0</v>
      </c>
      <c r="AT268" s="19">
        <v>0</v>
      </c>
      <c r="AU268" s="19">
        <v>0</v>
      </c>
      <c r="AV268" s="19">
        <v>0</v>
      </c>
      <c r="AW268" s="19">
        <v>0</v>
      </c>
      <c r="AX268" s="19">
        <v>0</v>
      </c>
      <c r="AY268" s="19">
        <v>0</v>
      </c>
      <c r="AZ268" s="19">
        <v>0</v>
      </c>
      <c r="BA268" s="23"/>
      <c r="BB268" s="19">
        <f t="shared" ref="BB268" si="845">SUM(BC268+BG268+BJ268+BL268+BO268)</f>
        <v>0</v>
      </c>
      <c r="BC268" s="19">
        <f t="shared" ref="BC268" si="846">SUM(BD268:BF268)</f>
        <v>0</v>
      </c>
      <c r="BD268" s="19">
        <v>0</v>
      </c>
      <c r="BE268" s="19">
        <v>0</v>
      </c>
      <c r="BF268" s="19">
        <v>0</v>
      </c>
      <c r="BG268" s="19">
        <f t="shared" ref="BG268" si="847">SUM(BI268:BI268)</f>
        <v>0</v>
      </c>
      <c r="BH268" s="19">
        <v>0</v>
      </c>
      <c r="BI268" s="19">
        <v>0</v>
      </c>
      <c r="BJ268" s="19">
        <v>0</v>
      </c>
      <c r="BK268" s="19">
        <v>0</v>
      </c>
      <c r="BL268" s="19">
        <f>SUM(BM268)</f>
        <v>0</v>
      </c>
      <c r="BM268" s="19">
        <v>0</v>
      </c>
      <c r="BN268" s="19">
        <v>0</v>
      </c>
      <c r="BO268" s="19">
        <f t="shared" ref="BO268" si="848">SUM(BP268:BZ268)</f>
        <v>0</v>
      </c>
      <c r="BP268" s="19">
        <v>0</v>
      </c>
      <c r="BQ268" s="19">
        <v>0</v>
      </c>
      <c r="BR268" s="19">
        <v>0</v>
      </c>
      <c r="BS268" s="19">
        <v>0</v>
      </c>
      <c r="BT268" s="19">
        <v>0</v>
      </c>
      <c r="BU268" s="19">
        <v>0</v>
      </c>
      <c r="BV268" s="19">
        <v>0</v>
      </c>
      <c r="BW268" s="19">
        <v>0</v>
      </c>
      <c r="BX268" s="19">
        <v>0</v>
      </c>
      <c r="BY268" s="19">
        <v>0</v>
      </c>
      <c r="BZ268" s="19">
        <v>0</v>
      </c>
      <c r="CA268" s="19">
        <f t="shared" ref="CA268" si="849">SUM(CB268+CT268)</f>
        <v>1395527</v>
      </c>
      <c r="CB268" s="19">
        <f t="shared" ref="CB268" si="850">SUM(CC268+CF268+CL268)</f>
        <v>0</v>
      </c>
      <c r="CC268" s="19">
        <f>SUM(CD268:CE268)</f>
        <v>0</v>
      </c>
      <c r="CD268" s="19">
        <v>0</v>
      </c>
      <c r="CE268" s="19">
        <v>0</v>
      </c>
      <c r="CF268" s="19">
        <f t="shared" ref="CF268" si="851">SUM(CG268:CK268)</f>
        <v>0</v>
      </c>
      <c r="CG268" s="19">
        <v>0</v>
      </c>
      <c r="CH268" s="19">
        <v>0</v>
      </c>
      <c r="CI268" s="19">
        <v>0</v>
      </c>
      <c r="CJ268" s="19">
        <v>0</v>
      </c>
      <c r="CK268" s="19">
        <v>0</v>
      </c>
      <c r="CL268" s="19">
        <f t="shared" ref="CL268" si="852">SUM(CM268:CQ268)</f>
        <v>0</v>
      </c>
      <c r="CM268" s="19">
        <v>0</v>
      </c>
      <c r="CN268" s="19">
        <v>0</v>
      </c>
      <c r="CO268" s="19">
        <v>0</v>
      </c>
      <c r="CP268" s="19">
        <v>0</v>
      </c>
      <c r="CQ268" s="19">
        <v>0</v>
      </c>
      <c r="CR268" s="19"/>
      <c r="CS268" s="19"/>
      <c r="CT268" s="39">
        <f>0+1395527</f>
        <v>1395527</v>
      </c>
      <c r="CU268" s="39"/>
      <c r="CV268" s="39"/>
      <c r="CW268" s="39"/>
      <c r="CX268" s="19">
        <f>SUM(CY268)</f>
        <v>0</v>
      </c>
      <c r="CY268" s="19">
        <f>SUM(CZ268:DA268)</f>
        <v>0</v>
      </c>
      <c r="CZ268" s="19">
        <v>0</v>
      </c>
      <c r="DA268" s="20">
        <v>0</v>
      </c>
    </row>
    <row r="269" spans="1:106" ht="15.75" x14ac:dyDescent="0.25">
      <c r="A269" s="74" t="s">
        <v>1</v>
      </c>
      <c r="B269" s="36" t="s">
        <v>82</v>
      </c>
      <c r="C269" s="37" t="s">
        <v>587</v>
      </c>
      <c r="D269" s="38">
        <f t="shared" si="821"/>
        <v>19035884</v>
      </c>
      <c r="E269" s="39">
        <f t="shared" si="822"/>
        <v>0</v>
      </c>
      <c r="F269" s="39">
        <f t="shared" si="823"/>
        <v>0</v>
      </c>
      <c r="G269" s="39">
        <v>0</v>
      </c>
      <c r="H269" s="39">
        <v>0</v>
      </c>
      <c r="I269" s="39">
        <f t="shared" si="707"/>
        <v>0</v>
      </c>
      <c r="J269" s="39">
        <v>0</v>
      </c>
      <c r="K269" s="39">
        <v>0</v>
      </c>
      <c r="L269" s="39">
        <v>0</v>
      </c>
      <c r="M269" s="39">
        <v>0</v>
      </c>
      <c r="N269" s="39">
        <v>0</v>
      </c>
      <c r="O269" s="39">
        <v>0</v>
      </c>
      <c r="P269" s="39">
        <f t="shared" si="708"/>
        <v>0</v>
      </c>
      <c r="Q269" s="39">
        <v>0</v>
      </c>
      <c r="R269" s="39">
        <v>0</v>
      </c>
      <c r="S269" s="39">
        <v>0</v>
      </c>
      <c r="T269" s="39">
        <v>0</v>
      </c>
      <c r="U269" s="39">
        <f t="shared" ref="U269:U281" si="853">SUM(V269:AC269)</f>
        <v>0</v>
      </c>
      <c r="V269" s="39">
        <v>0</v>
      </c>
      <c r="W269" s="39">
        <v>0</v>
      </c>
      <c r="X269" s="39">
        <v>0</v>
      </c>
      <c r="Y269" s="39">
        <v>0</v>
      </c>
      <c r="Z269" s="39">
        <v>0</v>
      </c>
      <c r="AA269" s="39">
        <v>0</v>
      </c>
      <c r="AB269" s="39">
        <v>0</v>
      </c>
      <c r="AC269" s="39">
        <v>0</v>
      </c>
      <c r="AD269" s="39">
        <v>0</v>
      </c>
      <c r="AE269" s="39">
        <f t="shared" si="825"/>
        <v>0</v>
      </c>
      <c r="AF269" s="39">
        <v>0</v>
      </c>
      <c r="AG269" s="39">
        <v>0</v>
      </c>
      <c r="AH269" s="39">
        <v>0</v>
      </c>
      <c r="AI269" s="39">
        <v>0</v>
      </c>
      <c r="AJ269" s="39">
        <v>0</v>
      </c>
      <c r="AK269" s="39">
        <v>0</v>
      </c>
      <c r="AL269" s="39">
        <v>0</v>
      </c>
      <c r="AM269" s="39">
        <v>0</v>
      </c>
      <c r="AN269" s="39">
        <v>0</v>
      </c>
      <c r="AO269" s="39">
        <v>0</v>
      </c>
      <c r="AP269" s="39">
        <v>0</v>
      </c>
      <c r="AQ269" s="39"/>
      <c r="AR269" s="39">
        <v>0</v>
      </c>
      <c r="AS269" s="39">
        <v>0</v>
      </c>
      <c r="AT269" s="39">
        <v>0</v>
      </c>
      <c r="AU269" s="39">
        <v>0</v>
      </c>
      <c r="AV269" s="39">
        <v>0</v>
      </c>
      <c r="AW269" s="39">
        <v>0</v>
      </c>
      <c r="AX269" s="39">
        <v>0</v>
      </c>
      <c r="AY269" s="39">
        <v>0</v>
      </c>
      <c r="AZ269" s="39">
        <v>0</v>
      </c>
      <c r="BA269" s="39">
        <v>0</v>
      </c>
      <c r="BB269" s="39">
        <f t="shared" si="826"/>
        <v>0</v>
      </c>
      <c r="BC269" s="39">
        <f t="shared" ref="BC269:BC281" si="854">SUM(BD269:BF269)</f>
        <v>0</v>
      </c>
      <c r="BD269" s="39">
        <v>0</v>
      </c>
      <c r="BE269" s="39">
        <v>0</v>
      </c>
      <c r="BF269" s="39">
        <v>0</v>
      </c>
      <c r="BG269" s="39">
        <f>SUM(BI269:BI269)</f>
        <v>0</v>
      </c>
      <c r="BH269" s="39">
        <v>0</v>
      </c>
      <c r="BI269" s="39">
        <v>0</v>
      </c>
      <c r="BJ269" s="39">
        <v>0</v>
      </c>
      <c r="BK269" s="39">
        <v>0</v>
      </c>
      <c r="BL269" s="39">
        <f t="shared" si="710"/>
        <v>0</v>
      </c>
      <c r="BM269" s="39">
        <v>0</v>
      </c>
      <c r="BN269" s="39">
        <v>0</v>
      </c>
      <c r="BO269" s="39">
        <f t="shared" si="829"/>
        <v>0</v>
      </c>
      <c r="BP269" s="39">
        <v>0</v>
      </c>
      <c r="BQ269" s="39">
        <v>0</v>
      </c>
      <c r="BR269" s="39">
        <v>0</v>
      </c>
      <c r="BS269" s="39">
        <v>0</v>
      </c>
      <c r="BT269" s="39">
        <v>0</v>
      </c>
      <c r="BU269" s="39">
        <v>0</v>
      </c>
      <c r="BV269" s="39">
        <v>0</v>
      </c>
      <c r="BW269" s="39">
        <v>0</v>
      </c>
      <c r="BX269" s="39">
        <v>0</v>
      </c>
      <c r="BY269" s="39">
        <v>0</v>
      </c>
      <c r="BZ269" s="39">
        <v>0</v>
      </c>
      <c r="CA269" s="39">
        <f t="shared" si="830"/>
        <v>19035884</v>
      </c>
      <c r="CB269" s="39">
        <f t="shared" si="831"/>
        <v>0</v>
      </c>
      <c r="CC269" s="39">
        <f t="shared" si="711"/>
        <v>0</v>
      </c>
      <c r="CD269" s="39">
        <v>0</v>
      </c>
      <c r="CE269" s="39">
        <v>0</v>
      </c>
      <c r="CF269" s="19">
        <f t="shared" si="832"/>
        <v>0</v>
      </c>
      <c r="CG269" s="39">
        <v>0</v>
      </c>
      <c r="CH269" s="39">
        <v>0</v>
      </c>
      <c r="CI269" s="39">
        <v>0</v>
      </c>
      <c r="CJ269" s="39">
        <v>0</v>
      </c>
      <c r="CK269" s="39">
        <v>0</v>
      </c>
      <c r="CL269" s="39">
        <f t="shared" ref="CL269:CL281" si="855">SUM(CM269:CQ269)</f>
        <v>0</v>
      </c>
      <c r="CM269" s="39">
        <v>0</v>
      </c>
      <c r="CN269" s="39">
        <v>0</v>
      </c>
      <c r="CO269" s="39">
        <v>0</v>
      </c>
      <c r="CP269" s="39">
        <v>0</v>
      </c>
      <c r="CQ269" s="39">
        <v>0</v>
      </c>
      <c r="CR269" s="39"/>
      <c r="CS269" s="39"/>
      <c r="CT269" s="35">
        <f>15291120+3744764</f>
        <v>19035884</v>
      </c>
      <c r="CU269" s="35"/>
      <c r="CV269" s="35"/>
      <c r="CW269" s="35"/>
      <c r="CX269" s="39">
        <f t="shared" si="712"/>
        <v>0</v>
      </c>
      <c r="CY269" s="39">
        <f t="shared" si="713"/>
        <v>0</v>
      </c>
      <c r="CZ269" s="39">
        <v>0</v>
      </c>
      <c r="DA269" s="41">
        <v>0</v>
      </c>
    </row>
    <row r="270" spans="1:106" s="89" customFormat="1" ht="31.5" x14ac:dyDescent="0.25">
      <c r="A270" s="74" t="s">
        <v>1</v>
      </c>
      <c r="B270" s="44" t="s">
        <v>82</v>
      </c>
      <c r="C270" s="45" t="s">
        <v>505</v>
      </c>
      <c r="D270" s="38">
        <f t="shared" si="821"/>
        <v>72000</v>
      </c>
      <c r="E270" s="39">
        <f t="shared" si="822"/>
        <v>0</v>
      </c>
      <c r="F270" s="39">
        <f t="shared" si="823"/>
        <v>0</v>
      </c>
      <c r="G270" s="39">
        <v>0</v>
      </c>
      <c r="H270" s="39">
        <v>0</v>
      </c>
      <c r="I270" s="39">
        <f>SUM(J270:O270)</f>
        <v>0</v>
      </c>
      <c r="J270" s="39">
        <v>0</v>
      </c>
      <c r="K270" s="39">
        <v>0</v>
      </c>
      <c r="L270" s="39">
        <v>0</v>
      </c>
      <c r="M270" s="39">
        <v>0</v>
      </c>
      <c r="N270" s="39">
        <v>0</v>
      </c>
      <c r="O270" s="39">
        <v>0</v>
      </c>
      <c r="P270" s="39">
        <f>SUM(Q270:R270)</f>
        <v>0</v>
      </c>
      <c r="Q270" s="39">
        <v>0</v>
      </c>
      <c r="R270" s="39">
        <v>0</v>
      </c>
      <c r="S270" s="39">
        <v>0</v>
      </c>
      <c r="T270" s="39">
        <v>0</v>
      </c>
      <c r="U270" s="39">
        <f t="shared" si="853"/>
        <v>0</v>
      </c>
      <c r="V270" s="39">
        <v>0</v>
      </c>
      <c r="W270" s="39">
        <v>0</v>
      </c>
      <c r="X270" s="39">
        <v>0</v>
      </c>
      <c r="Y270" s="39">
        <v>0</v>
      </c>
      <c r="Z270" s="39">
        <v>0</v>
      </c>
      <c r="AA270" s="39">
        <v>0</v>
      </c>
      <c r="AB270" s="39">
        <v>0</v>
      </c>
      <c r="AC270" s="39">
        <v>0</v>
      </c>
      <c r="AD270" s="39"/>
      <c r="AE270" s="39">
        <f t="shared" si="825"/>
        <v>0</v>
      </c>
      <c r="AF270" s="39"/>
      <c r="AG270" s="39"/>
      <c r="AH270" s="39">
        <v>0</v>
      </c>
      <c r="AI270" s="39">
        <v>0</v>
      </c>
      <c r="AJ270" s="39">
        <v>0</v>
      </c>
      <c r="AK270" s="39">
        <v>0</v>
      </c>
      <c r="AL270" s="39">
        <v>0</v>
      </c>
      <c r="AM270" s="39">
        <v>0</v>
      </c>
      <c r="AN270" s="39">
        <v>0</v>
      </c>
      <c r="AO270" s="39">
        <v>0</v>
      </c>
      <c r="AP270" s="39">
        <v>0</v>
      </c>
      <c r="AQ270" s="39"/>
      <c r="AR270" s="39">
        <v>0</v>
      </c>
      <c r="AS270" s="39">
        <v>0</v>
      </c>
      <c r="AT270" s="39">
        <v>0</v>
      </c>
      <c r="AU270" s="39">
        <v>0</v>
      </c>
      <c r="AV270" s="39">
        <v>0</v>
      </c>
      <c r="AW270" s="39">
        <v>0</v>
      </c>
      <c r="AX270" s="39">
        <v>0</v>
      </c>
      <c r="AY270" s="39">
        <v>0</v>
      </c>
      <c r="AZ270" s="39">
        <v>0</v>
      </c>
      <c r="BA270" s="39">
        <v>0</v>
      </c>
      <c r="BB270" s="39">
        <f t="shared" si="826"/>
        <v>0</v>
      </c>
      <c r="BC270" s="39">
        <f t="shared" si="854"/>
        <v>0</v>
      </c>
      <c r="BD270" s="39">
        <v>0</v>
      </c>
      <c r="BE270" s="39">
        <v>0</v>
      </c>
      <c r="BF270" s="39">
        <v>0</v>
      </c>
      <c r="BG270" s="39">
        <f>SUM(BI270:BI270)</f>
        <v>0</v>
      </c>
      <c r="BH270" s="39">
        <v>0</v>
      </c>
      <c r="BI270" s="39">
        <v>0</v>
      </c>
      <c r="BJ270" s="39">
        <v>0</v>
      </c>
      <c r="BK270" s="39">
        <v>0</v>
      </c>
      <c r="BL270" s="39">
        <f>SUM(BM270)</f>
        <v>0</v>
      </c>
      <c r="BM270" s="39">
        <v>0</v>
      </c>
      <c r="BN270" s="39">
        <v>0</v>
      </c>
      <c r="BO270" s="39">
        <f t="shared" si="829"/>
        <v>0</v>
      </c>
      <c r="BP270" s="39">
        <v>0</v>
      </c>
      <c r="BQ270" s="39">
        <v>0</v>
      </c>
      <c r="BR270" s="39">
        <v>0</v>
      </c>
      <c r="BS270" s="39">
        <v>0</v>
      </c>
      <c r="BT270" s="39">
        <v>0</v>
      </c>
      <c r="BU270" s="39">
        <v>0</v>
      </c>
      <c r="BV270" s="39">
        <v>0</v>
      </c>
      <c r="BW270" s="39">
        <v>0</v>
      </c>
      <c r="BX270" s="39">
        <v>0</v>
      </c>
      <c r="BY270" s="39">
        <v>0</v>
      </c>
      <c r="BZ270" s="39">
        <v>0</v>
      </c>
      <c r="CA270" s="39">
        <f t="shared" si="830"/>
        <v>72000</v>
      </c>
      <c r="CB270" s="39">
        <f t="shared" si="831"/>
        <v>0</v>
      </c>
      <c r="CC270" s="39">
        <f>SUM(CD270:CE270)</f>
        <v>0</v>
      </c>
      <c r="CD270" s="39">
        <v>0</v>
      </c>
      <c r="CE270" s="39">
        <v>0</v>
      </c>
      <c r="CF270" s="19">
        <f t="shared" si="832"/>
        <v>0</v>
      </c>
      <c r="CG270" s="39">
        <v>0</v>
      </c>
      <c r="CH270" s="39">
        <v>0</v>
      </c>
      <c r="CI270" s="39">
        <v>0</v>
      </c>
      <c r="CJ270" s="39">
        <v>0</v>
      </c>
      <c r="CK270" s="39">
        <v>0</v>
      </c>
      <c r="CL270" s="39">
        <f t="shared" si="855"/>
        <v>0</v>
      </c>
      <c r="CM270" s="39">
        <v>0</v>
      </c>
      <c r="CN270" s="39">
        <v>0</v>
      </c>
      <c r="CO270" s="39">
        <v>0</v>
      </c>
      <c r="CP270" s="39">
        <v>0</v>
      </c>
      <c r="CQ270" s="39">
        <v>0</v>
      </c>
      <c r="CR270" s="39"/>
      <c r="CS270" s="39"/>
      <c r="CT270" s="35">
        <f>156000-84000</f>
        <v>72000</v>
      </c>
      <c r="CU270" s="35"/>
      <c r="CV270" s="35"/>
      <c r="CW270" s="35"/>
      <c r="CX270" s="39">
        <f>SUM(CY270)</f>
        <v>0</v>
      </c>
      <c r="CY270" s="39">
        <f>SUM(CZ270:DA270)</f>
        <v>0</v>
      </c>
      <c r="CZ270" s="39">
        <v>0</v>
      </c>
      <c r="DA270" s="41">
        <v>0</v>
      </c>
      <c r="DB270" s="84"/>
    </row>
    <row r="271" spans="1:106" ht="31.5" x14ac:dyDescent="0.25">
      <c r="A271" s="74"/>
      <c r="B271" s="42" t="s">
        <v>84</v>
      </c>
      <c r="C271" s="43" t="s">
        <v>504</v>
      </c>
      <c r="D271" s="38">
        <f t="shared" si="821"/>
        <v>2306844</v>
      </c>
      <c r="E271" s="39">
        <f t="shared" si="822"/>
        <v>0</v>
      </c>
      <c r="F271" s="39">
        <f t="shared" si="823"/>
        <v>0</v>
      </c>
      <c r="G271" s="39">
        <v>0</v>
      </c>
      <c r="H271" s="39">
        <v>0</v>
      </c>
      <c r="I271" s="39">
        <f t="shared" ref="I271" si="856">SUM(J271:O271)</f>
        <v>0</v>
      </c>
      <c r="J271" s="39">
        <v>0</v>
      </c>
      <c r="K271" s="39">
        <v>0</v>
      </c>
      <c r="L271" s="39">
        <v>0</v>
      </c>
      <c r="M271" s="39">
        <v>0</v>
      </c>
      <c r="N271" s="39">
        <v>0</v>
      </c>
      <c r="O271" s="39">
        <v>0</v>
      </c>
      <c r="P271" s="39">
        <f t="shared" ref="P271" si="857">SUM(Q271:R271)</f>
        <v>0</v>
      </c>
      <c r="Q271" s="39">
        <v>0</v>
      </c>
      <c r="R271" s="39">
        <v>0</v>
      </c>
      <c r="S271" s="39">
        <v>0</v>
      </c>
      <c r="T271" s="39">
        <v>0</v>
      </c>
      <c r="U271" s="39">
        <f>SUM(V271:AC271)</f>
        <v>0</v>
      </c>
      <c r="V271" s="39">
        <v>0</v>
      </c>
      <c r="W271" s="39">
        <v>0</v>
      </c>
      <c r="X271" s="39">
        <v>0</v>
      </c>
      <c r="Y271" s="39">
        <v>0</v>
      </c>
      <c r="Z271" s="39">
        <v>0</v>
      </c>
      <c r="AA271" s="39">
        <v>0</v>
      </c>
      <c r="AB271" s="39">
        <v>0</v>
      </c>
      <c r="AC271" s="39">
        <v>0</v>
      </c>
      <c r="AD271" s="40"/>
      <c r="AE271" s="39">
        <f t="shared" si="825"/>
        <v>0</v>
      </c>
      <c r="AF271" s="40"/>
      <c r="AG271" s="40"/>
      <c r="AH271" s="39">
        <v>0</v>
      </c>
      <c r="AI271" s="39">
        <v>0</v>
      </c>
      <c r="AJ271" s="39">
        <v>0</v>
      </c>
      <c r="AK271" s="39">
        <v>0</v>
      </c>
      <c r="AL271" s="39">
        <v>0</v>
      </c>
      <c r="AM271" s="39">
        <v>0</v>
      </c>
      <c r="AN271" s="39">
        <v>0</v>
      </c>
      <c r="AO271" s="39">
        <v>0</v>
      </c>
      <c r="AP271" s="39">
        <v>0</v>
      </c>
      <c r="AQ271" s="39"/>
      <c r="AR271" s="39">
        <v>0</v>
      </c>
      <c r="AS271" s="39">
        <v>0</v>
      </c>
      <c r="AT271" s="39">
        <v>0</v>
      </c>
      <c r="AU271" s="39">
        <v>0</v>
      </c>
      <c r="AV271" s="39">
        <v>0</v>
      </c>
      <c r="AW271" s="39">
        <v>0</v>
      </c>
      <c r="AX271" s="39">
        <v>0</v>
      </c>
      <c r="AY271" s="39">
        <v>0</v>
      </c>
      <c r="AZ271" s="39">
        <v>0</v>
      </c>
      <c r="BA271" s="39">
        <v>0</v>
      </c>
      <c r="BB271" s="39">
        <f t="shared" si="826"/>
        <v>0</v>
      </c>
      <c r="BC271" s="39">
        <f>SUM(BD271:BF271)</f>
        <v>0</v>
      </c>
      <c r="BD271" s="39">
        <v>0</v>
      </c>
      <c r="BE271" s="39">
        <v>0</v>
      </c>
      <c r="BF271" s="39">
        <v>0</v>
      </c>
      <c r="BG271" s="39">
        <f>SUM(BI271:BI271)</f>
        <v>0</v>
      </c>
      <c r="BH271" s="39">
        <v>0</v>
      </c>
      <c r="BI271" s="39">
        <v>0</v>
      </c>
      <c r="BJ271" s="39">
        <v>0</v>
      </c>
      <c r="BK271" s="39">
        <v>0</v>
      </c>
      <c r="BL271" s="39">
        <f t="shared" ref="BL271" si="858">SUM(BM271)</f>
        <v>0</v>
      </c>
      <c r="BM271" s="39">
        <v>0</v>
      </c>
      <c r="BN271" s="39">
        <v>0</v>
      </c>
      <c r="BO271" s="39">
        <f>SUM(BP271:BZ271)</f>
        <v>0</v>
      </c>
      <c r="BP271" s="39">
        <v>0</v>
      </c>
      <c r="BQ271" s="39">
        <v>0</v>
      </c>
      <c r="BR271" s="39">
        <v>0</v>
      </c>
      <c r="BS271" s="39">
        <v>0</v>
      </c>
      <c r="BT271" s="39">
        <v>0</v>
      </c>
      <c r="BU271" s="39">
        <v>0</v>
      </c>
      <c r="BV271" s="39">
        <v>0</v>
      </c>
      <c r="BW271" s="39">
        <v>0</v>
      </c>
      <c r="BX271" s="39">
        <v>0</v>
      </c>
      <c r="BY271" s="39">
        <v>0</v>
      </c>
      <c r="BZ271" s="39">
        <v>0</v>
      </c>
      <c r="CA271" s="39">
        <f t="shared" si="830"/>
        <v>2306844</v>
      </c>
      <c r="CB271" s="39">
        <f t="shared" si="831"/>
        <v>0</v>
      </c>
      <c r="CC271" s="39">
        <f t="shared" ref="CC271" si="859">SUM(CD271:CE271)</f>
        <v>0</v>
      </c>
      <c r="CD271" s="39">
        <v>0</v>
      </c>
      <c r="CE271" s="39">
        <v>0</v>
      </c>
      <c r="CF271" s="19">
        <f>SUM(CG271:CK271)</f>
        <v>0</v>
      </c>
      <c r="CG271" s="39">
        <v>0</v>
      </c>
      <c r="CH271" s="39">
        <v>0</v>
      </c>
      <c r="CI271" s="39">
        <v>0</v>
      </c>
      <c r="CJ271" s="39">
        <v>0</v>
      </c>
      <c r="CK271" s="39">
        <v>0</v>
      </c>
      <c r="CL271" s="39">
        <f>SUM(CM271:CQ271)</f>
        <v>0</v>
      </c>
      <c r="CM271" s="39">
        <v>0</v>
      </c>
      <c r="CN271" s="39">
        <v>0</v>
      </c>
      <c r="CO271" s="39">
        <v>0</v>
      </c>
      <c r="CP271" s="39">
        <v>0</v>
      </c>
      <c r="CQ271" s="39">
        <v>0</v>
      </c>
      <c r="CR271" s="39"/>
      <c r="CS271" s="39"/>
      <c r="CT271" s="35">
        <v>2306844</v>
      </c>
      <c r="CU271" s="35"/>
      <c r="CV271" s="35"/>
      <c r="CW271" s="35"/>
      <c r="CX271" s="39">
        <f t="shared" ref="CX271" si="860">SUM(CY271)</f>
        <v>0</v>
      </c>
      <c r="CY271" s="39">
        <f t="shared" ref="CY271" si="861">SUM(CZ271:DA271)</f>
        <v>0</v>
      </c>
      <c r="CZ271" s="39">
        <v>0</v>
      </c>
      <c r="DA271" s="41">
        <v>0</v>
      </c>
    </row>
    <row r="272" spans="1:106" ht="31.5" x14ac:dyDescent="0.25">
      <c r="A272" s="74" t="s">
        <v>1</v>
      </c>
      <c r="B272" s="44" t="s">
        <v>84</v>
      </c>
      <c r="C272" s="45" t="s">
        <v>506</v>
      </c>
      <c r="D272" s="38">
        <f t="shared" si="821"/>
        <v>2872472</v>
      </c>
      <c r="E272" s="39">
        <f t="shared" si="822"/>
        <v>0</v>
      </c>
      <c r="F272" s="39">
        <f t="shared" si="823"/>
        <v>0</v>
      </c>
      <c r="G272" s="39">
        <v>0</v>
      </c>
      <c r="H272" s="39">
        <v>0</v>
      </c>
      <c r="I272" s="39">
        <f>SUM(J272:O272)</f>
        <v>0</v>
      </c>
      <c r="J272" s="39">
        <v>0</v>
      </c>
      <c r="K272" s="39">
        <v>0</v>
      </c>
      <c r="L272" s="39">
        <v>0</v>
      </c>
      <c r="M272" s="39">
        <v>0</v>
      </c>
      <c r="N272" s="39">
        <v>0</v>
      </c>
      <c r="O272" s="39">
        <v>0</v>
      </c>
      <c r="P272" s="39">
        <f>SUM(Q272:R272)</f>
        <v>0</v>
      </c>
      <c r="Q272" s="39">
        <v>0</v>
      </c>
      <c r="R272" s="39">
        <v>0</v>
      </c>
      <c r="S272" s="39">
        <v>0</v>
      </c>
      <c r="T272" s="39">
        <v>0</v>
      </c>
      <c r="U272" s="39">
        <f>SUM(V272:AC272)</f>
        <v>0</v>
      </c>
      <c r="V272" s="39">
        <v>0</v>
      </c>
      <c r="W272" s="39">
        <v>0</v>
      </c>
      <c r="X272" s="39">
        <v>0</v>
      </c>
      <c r="Y272" s="39">
        <v>0</v>
      </c>
      <c r="Z272" s="39">
        <v>0</v>
      </c>
      <c r="AA272" s="39">
        <v>0</v>
      </c>
      <c r="AB272" s="39">
        <v>0</v>
      </c>
      <c r="AC272" s="39">
        <v>0</v>
      </c>
      <c r="AD272" s="39"/>
      <c r="AE272" s="39">
        <f t="shared" si="825"/>
        <v>0</v>
      </c>
      <c r="AF272" s="39"/>
      <c r="AG272" s="39"/>
      <c r="AH272" s="39">
        <v>0</v>
      </c>
      <c r="AI272" s="39">
        <v>0</v>
      </c>
      <c r="AJ272" s="39">
        <v>0</v>
      </c>
      <c r="AK272" s="39">
        <v>0</v>
      </c>
      <c r="AL272" s="39">
        <v>0</v>
      </c>
      <c r="AM272" s="39">
        <v>0</v>
      </c>
      <c r="AN272" s="39">
        <v>0</v>
      </c>
      <c r="AO272" s="39">
        <v>0</v>
      </c>
      <c r="AP272" s="39">
        <v>0</v>
      </c>
      <c r="AQ272" s="39"/>
      <c r="AR272" s="39">
        <v>0</v>
      </c>
      <c r="AS272" s="39">
        <v>0</v>
      </c>
      <c r="AT272" s="39">
        <v>0</v>
      </c>
      <c r="AU272" s="39">
        <v>0</v>
      </c>
      <c r="AV272" s="39">
        <v>0</v>
      </c>
      <c r="AW272" s="39">
        <v>0</v>
      </c>
      <c r="AX272" s="39">
        <v>0</v>
      </c>
      <c r="AY272" s="39">
        <v>0</v>
      </c>
      <c r="AZ272" s="39">
        <v>0</v>
      </c>
      <c r="BA272" s="39">
        <v>0</v>
      </c>
      <c r="BB272" s="39">
        <f t="shared" si="826"/>
        <v>0</v>
      </c>
      <c r="BC272" s="39">
        <f>SUM(BD272:BF272)</f>
        <v>0</v>
      </c>
      <c r="BD272" s="39">
        <v>0</v>
      </c>
      <c r="BE272" s="39">
        <v>0</v>
      </c>
      <c r="BF272" s="39">
        <v>0</v>
      </c>
      <c r="BG272" s="39">
        <f>SUM(BI272:BI272)</f>
        <v>0</v>
      </c>
      <c r="BH272" s="39">
        <v>0</v>
      </c>
      <c r="BI272" s="39">
        <v>0</v>
      </c>
      <c r="BJ272" s="39">
        <v>0</v>
      </c>
      <c r="BK272" s="39">
        <v>0</v>
      </c>
      <c r="BL272" s="39">
        <f>SUM(BM272)</f>
        <v>0</v>
      </c>
      <c r="BM272" s="39">
        <v>0</v>
      </c>
      <c r="BN272" s="39">
        <v>0</v>
      </c>
      <c r="BO272" s="39">
        <f>SUM(BP272:BZ272)</f>
        <v>0</v>
      </c>
      <c r="BP272" s="39">
        <v>0</v>
      </c>
      <c r="BQ272" s="39">
        <v>0</v>
      </c>
      <c r="BR272" s="39">
        <v>0</v>
      </c>
      <c r="BS272" s="39">
        <v>0</v>
      </c>
      <c r="BT272" s="39">
        <v>0</v>
      </c>
      <c r="BU272" s="39">
        <v>0</v>
      </c>
      <c r="BV272" s="39">
        <v>0</v>
      </c>
      <c r="BW272" s="39">
        <v>0</v>
      </c>
      <c r="BX272" s="39">
        <v>0</v>
      </c>
      <c r="BY272" s="39">
        <v>0</v>
      </c>
      <c r="BZ272" s="39">
        <v>0</v>
      </c>
      <c r="CA272" s="39">
        <f t="shared" si="830"/>
        <v>2872472</v>
      </c>
      <c r="CB272" s="39">
        <f t="shared" si="831"/>
        <v>0</v>
      </c>
      <c r="CC272" s="39">
        <f>SUM(CD272:CE272)</f>
        <v>0</v>
      </c>
      <c r="CD272" s="39">
        <v>0</v>
      </c>
      <c r="CE272" s="39">
        <v>0</v>
      </c>
      <c r="CF272" s="19">
        <f>SUM(CG272:CK272)</f>
        <v>0</v>
      </c>
      <c r="CG272" s="39">
        <v>0</v>
      </c>
      <c r="CH272" s="39">
        <v>0</v>
      </c>
      <c r="CI272" s="39">
        <v>0</v>
      </c>
      <c r="CJ272" s="39">
        <v>0</v>
      </c>
      <c r="CK272" s="39">
        <v>0</v>
      </c>
      <c r="CL272" s="39">
        <f>SUM(CM272:CQ272)</f>
        <v>0</v>
      </c>
      <c r="CM272" s="39">
        <v>0</v>
      </c>
      <c r="CN272" s="39">
        <v>0</v>
      </c>
      <c r="CO272" s="39">
        <v>0</v>
      </c>
      <c r="CP272" s="39">
        <v>0</v>
      </c>
      <c r="CQ272" s="39">
        <v>0</v>
      </c>
      <c r="CR272" s="39"/>
      <c r="CS272" s="39"/>
      <c r="CT272" s="35">
        <v>2872472</v>
      </c>
      <c r="CU272" s="35"/>
      <c r="CV272" s="35"/>
      <c r="CW272" s="35"/>
      <c r="CX272" s="39">
        <f>SUM(CY272)</f>
        <v>0</v>
      </c>
      <c r="CY272" s="39">
        <f>SUM(CZ272:DA272)</f>
        <v>0</v>
      </c>
      <c r="CZ272" s="39">
        <v>0</v>
      </c>
      <c r="DA272" s="41">
        <v>0</v>
      </c>
    </row>
    <row r="273" spans="1:106" ht="15.75" x14ac:dyDescent="0.25">
      <c r="A273" s="74" t="s">
        <v>1</v>
      </c>
      <c r="B273" s="36" t="s">
        <v>84</v>
      </c>
      <c r="C273" s="37" t="s">
        <v>524</v>
      </c>
      <c r="D273" s="38">
        <f t="shared" si="821"/>
        <v>4075762</v>
      </c>
      <c r="E273" s="39">
        <f t="shared" si="822"/>
        <v>0</v>
      </c>
      <c r="F273" s="39">
        <f t="shared" si="823"/>
        <v>0</v>
      </c>
      <c r="G273" s="39">
        <v>0</v>
      </c>
      <c r="H273" s="39">
        <v>0</v>
      </c>
      <c r="I273" s="39">
        <f>SUM(J273:O273)</f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39">
        <f>SUM(Q273:R273)</f>
        <v>0</v>
      </c>
      <c r="Q273" s="39">
        <v>0</v>
      </c>
      <c r="R273" s="39">
        <v>0</v>
      </c>
      <c r="S273" s="39">
        <v>0</v>
      </c>
      <c r="T273" s="39">
        <v>0</v>
      </c>
      <c r="U273" s="39">
        <f t="shared" ref="U273:U280" si="862">SUM(V273:AC273)</f>
        <v>0</v>
      </c>
      <c r="V273" s="39">
        <v>0</v>
      </c>
      <c r="W273" s="39">
        <v>0</v>
      </c>
      <c r="X273" s="39">
        <v>0</v>
      </c>
      <c r="Y273" s="39">
        <v>0</v>
      </c>
      <c r="Z273" s="39">
        <v>0</v>
      </c>
      <c r="AA273" s="39">
        <v>0</v>
      </c>
      <c r="AB273" s="39">
        <v>0</v>
      </c>
      <c r="AC273" s="39">
        <v>0</v>
      </c>
      <c r="AD273" s="39"/>
      <c r="AE273" s="39">
        <f t="shared" ref="AE273:AE281" si="863">SUM(AF273:BA273)</f>
        <v>0</v>
      </c>
      <c r="AF273" s="39"/>
      <c r="AG273" s="39"/>
      <c r="AH273" s="39">
        <v>0</v>
      </c>
      <c r="AI273" s="39">
        <v>0</v>
      </c>
      <c r="AJ273" s="39">
        <v>0</v>
      </c>
      <c r="AK273" s="39">
        <v>0</v>
      </c>
      <c r="AL273" s="39">
        <v>0</v>
      </c>
      <c r="AM273" s="39">
        <v>0</v>
      </c>
      <c r="AN273" s="39">
        <v>0</v>
      </c>
      <c r="AO273" s="39">
        <v>0</v>
      </c>
      <c r="AP273" s="39">
        <v>0</v>
      </c>
      <c r="AQ273" s="39"/>
      <c r="AR273" s="39">
        <v>0</v>
      </c>
      <c r="AS273" s="39">
        <v>0</v>
      </c>
      <c r="AT273" s="39">
        <v>0</v>
      </c>
      <c r="AU273" s="39">
        <v>0</v>
      </c>
      <c r="AV273" s="39">
        <v>0</v>
      </c>
      <c r="AW273" s="39">
        <v>0</v>
      </c>
      <c r="AX273" s="39">
        <v>0</v>
      </c>
      <c r="AY273" s="39">
        <v>0</v>
      </c>
      <c r="AZ273" s="39">
        <v>0</v>
      </c>
      <c r="BA273" s="39">
        <v>0</v>
      </c>
      <c r="BB273" s="39">
        <f t="shared" ref="BB273:BB281" si="864">SUM(BC273+BG273+BJ273+BL273+BO273)</f>
        <v>0</v>
      </c>
      <c r="BC273" s="39">
        <f t="shared" ref="BC273:BC279" si="865">SUM(BD273:BF273)</f>
        <v>0</v>
      </c>
      <c r="BD273" s="39">
        <v>0</v>
      </c>
      <c r="BE273" s="39">
        <v>0</v>
      </c>
      <c r="BF273" s="39">
        <v>0</v>
      </c>
      <c r="BG273" s="39">
        <f t="shared" ref="BG273:BG279" si="866">SUM(BI273:BI273)</f>
        <v>0</v>
      </c>
      <c r="BH273" s="39">
        <v>0</v>
      </c>
      <c r="BI273" s="39">
        <v>0</v>
      </c>
      <c r="BJ273" s="39">
        <v>0</v>
      </c>
      <c r="BK273" s="39">
        <v>0</v>
      </c>
      <c r="BL273" s="39">
        <f>SUM(BM273)</f>
        <v>0</v>
      </c>
      <c r="BM273" s="39">
        <v>0</v>
      </c>
      <c r="BN273" s="39">
        <v>0</v>
      </c>
      <c r="BO273" s="39">
        <f t="shared" ref="BO273:BO280" si="867">SUM(BP273:BZ273)</f>
        <v>0</v>
      </c>
      <c r="BP273" s="39">
        <v>0</v>
      </c>
      <c r="BQ273" s="39">
        <v>0</v>
      </c>
      <c r="BR273" s="39">
        <v>0</v>
      </c>
      <c r="BS273" s="39">
        <v>0</v>
      </c>
      <c r="BT273" s="39">
        <v>0</v>
      </c>
      <c r="BU273" s="39">
        <v>0</v>
      </c>
      <c r="BV273" s="39">
        <v>0</v>
      </c>
      <c r="BW273" s="39">
        <v>0</v>
      </c>
      <c r="BX273" s="39">
        <v>0</v>
      </c>
      <c r="BY273" s="39">
        <v>0</v>
      </c>
      <c r="BZ273" s="39">
        <v>0</v>
      </c>
      <c r="CA273" s="39">
        <f t="shared" ref="CA273:CA281" si="868">SUM(CB273+CT273)</f>
        <v>4075762</v>
      </c>
      <c r="CB273" s="39">
        <f t="shared" ref="CB273:CB281" si="869">SUM(CC273+CF273+CL273)</f>
        <v>0</v>
      </c>
      <c r="CC273" s="39">
        <f>SUM(CD273:CE273)</f>
        <v>0</v>
      </c>
      <c r="CD273" s="39">
        <v>0</v>
      </c>
      <c r="CE273" s="39">
        <v>0</v>
      </c>
      <c r="CF273" s="19">
        <f t="shared" si="832"/>
        <v>0</v>
      </c>
      <c r="CG273" s="39">
        <v>0</v>
      </c>
      <c r="CH273" s="39">
        <v>0</v>
      </c>
      <c r="CI273" s="39">
        <v>0</v>
      </c>
      <c r="CJ273" s="39">
        <v>0</v>
      </c>
      <c r="CK273" s="39">
        <v>0</v>
      </c>
      <c r="CL273" s="39">
        <f t="shared" ref="CL273:CL279" si="870">SUM(CM273:CQ273)</f>
        <v>0</v>
      </c>
      <c r="CM273" s="39">
        <v>0</v>
      </c>
      <c r="CN273" s="39">
        <v>0</v>
      </c>
      <c r="CO273" s="39">
        <v>0</v>
      </c>
      <c r="CP273" s="39">
        <v>0</v>
      </c>
      <c r="CQ273" s="39">
        <v>0</v>
      </c>
      <c r="CR273" s="39"/>
      <c r="CS273" s="39"/>
      <c r="CT273" s="35">
        <f>4390762-315000</f>
        <v>4075762</v>
      </c>
      <c r="CU273" s="35"/>
      <c r="CV273" s="35"/>
      <c r="CW273" s="35"/>
      <c r="CX273" s="39">
        <f>SUM(CY273)</f>
        <v>0</v>
      </c>
      <c r="CY273" s="39">
        <f>SUM(CZ273:DA273)</f>
        <v>0</v>
      </c>
      <c r="CZ273" s="39">
        <v>0</v>
      </c>
      <c r="DA273" s="41">
        <v>0</v>
      </c>
    </row>
    <row r="274" spans="1:106" ht="15.75" x14ac:dyDescent="0.25">
      <c r="A274" s="74" t="s">
        <v>1</v>
      </c>
      <c r="B274" s="36" t="s">
        <v>84</v>
      </c>
      <c r="C274" s="37" t="s">
        <v>526</v>
      </c>
      <c r="D274" s="38">
        <f t="shared" si="821"/>
        <v>26448283</v>
      </c>
      <c r="E274" s="39">
        <f t="shared" si="822"/>
        <v>0</v>
      </c>
      <c r="F274" s="39">
        <f t="shared" si="823"/>
        <v>0</v>
      </c>
      <c r="G274" s="39">
        <v>0</v>
      </c>
      <c r="H274" s="39">
        <v>0</v>
      </c>
      <c r="I274" s="39">
        <f>SUM(J274:O274)</f>
        <v>0</v>
      </c>
      <c r="J274" s="39">
        <v>0</v>
      </c>
      <c r="K274" s="39">
        <v>0</v>
      </c>
      <c r="L274" s="39">
        <v>0</v>
      </c>
      <c r="M274" s="39">
        <v>0</v>
      </c>
      <c r="N274" s="39">
        <v>0</v>
      </c>
      <c r="O274" s="39">
        <v>0</v>
      </c>
      <c r="P274" s="39">
        <f>SUM(Q274:R274)</f>
        <v>0</v>
      </c>
      <c r="Q274" s="39">
        <v>0</v>
      </c>
      <c r="R274" s="39">
        <v>0</v>
      </c>
      <c r="S274" s="39">
        <v>0</v>
      </c>
      <c r="T274" s="39">
        <v>0</v>
      </c>
      <c r="U274" s="39">
        <f>SUM(V274:AC274)</f>
        <v>0</v>
      </c>
      <c r="V274" s="39">
        <v>0</v>
      </c>
      <c r="W274" s="39">
        <v>0</v>
      </c>
      <c r="X274" s="39">
        <v>0</v>
      </c>
      <c r="Y274" s="39">
        <v>0</v>
      </c>
      <c r="Z274" s="39">
        <v>0</v>
      </c>
      <c r="AA274" s="39">
        <v>0</v>
      </c>
      <c r="AB274" s="39">
        <v>0</v>
      </c>
      <c r="AC274" s="39">
        <v>0</v>
      </c>
      <c r="AD274" s="39"/>
      <c r="AE274" s="39">
        <f>SUM(AF274:BA274)</f>
        <v>0</v>
      </c>
      <c r="AF274" s="39"/>
      <c r="AG274" s="39"/>
      <c r="AH274" s="39">
        <v>0</v>
      </c>
      <c r="AI274" s="39">
        <v>0</v>
      </c>
      <c r="AJ274" s="39">
        <v>0</v>
      </c>
      <c r="AK274" s="39">
        <v>0</v>
      </c>
      <c r="AL274" s="39">
        <v>0</v>
      </c>
      <c r="AM274" s="39">
        <v>0</v>
      </c>
      <c r="AN274" s="39">
        <v>0</v>
      </c>
      <c r="AO274" s="39">
        <v>0</v>
      </c>
      <c r="AP274" s="39">
        <v>0</v>
      </c>
      <c r="AQ274" s="39"/>
      <c r="AR274" s="39">
        <v>0</v>
      </c>
      <c r="AS274" s="39">
        <v>0</v>
      </c>
      <c r="AT274" s="39">
        <v>0</v>
      </c>
      <c r="AU274" s="39">
        <v>0</v>
      </c>
      <c r="AV274" s="39">
        <v>0</v>
      </c>
      <c r="AW274" s="39">
        <v>0</v>
      </c>
      <c r="AX274" s="39">
        <v>0</v>
      </c>
      <c r="AY274" s="39">
        <v>0</v>
      </c>
      <c r="AZ274" s="39">
        <v>0</v>
      </c>
      <c r="BA274" s="39">
        <v>0</v>
      </c>
      <c r="BB274" s="39">
        <f>SUM(BC274+BG274+BJ274+BL274+BO274)</f>
        <v>0</v>
      </c>
      <c r="BC274" s="39">
        <f>SUM(BD274:BF274)</f>
        <v>0</v>
      </c>
      <c r="BD274" s="39">
        <v>0</v>
      </c>
      <c r="BE274" s="39">
        <v>0</v>
      </c>
      <c r="BF274" s="39">
        <v>0</v>
      </c>
      <c r="BG274" s="39">
        <f>SUM(BI274:BI274)</f>
        <v>0</v>
      </c>
      <c r="BH274" s="39">
        <v>0</v>
      </c>
      <c r="BI274" s="39">
        <v>0</v>
      </c>
      <c r="BJ274" s="39">
        <v>0</v>
      </c>
      <c r="BK274" s="39">
        <v>0</v>
      </c>
      <c r="BL274" s="39">
        <f>SUM(BM274)</f>
        <v>0</v>
      </c>
      <c r="BM274" s="39">
        <v>0</v>
      </c>
      <c r="BN274" s="39">
        <v>0</v>
      </c>
      <c r="BO274" s="39">
        <f>SUM(BP274:BZ274)</f>
        <v>0</v>
      </c>
      <c r="BP274" s="39">
        <v>0</v>
      </c>
      <c r="BQ274" s="39">
        <v>0</v>
      </c>
      <c r="BR274" s="39">
        <v>0</v>
      </c>
      <c r="BS274" s="39">
        <v>0</v>
      </c>
      <c r="BT274" s="39">
        <v>0</v>
      </c>
      <c r="BU274" s="39">
        <v>0</v>
      </c>
      <c r="BV274" s="39">
        <v>0</v>
      </c>
      <c r="BW274" s="39">
        <v>0</v>
      </c>
      <c r="BX274" s="39">
        <v>0</v>
      </c>
      <c r="BY274" s="39">
        <v>0</v>
      </c>
      <c r="BZ274" s="39">
        <v>0</v>
      </c>
      <c r="CA274" s="39">
        <f>SUM(CB274+CT274)</f>
        <v>26448283</v>
      </c>
      <c r="CB274" s="39">
        <f>SUM(CC274+CF274+CL274)</f>
        <v>0</v>
      </c>
      <c r="CC274" s="39">
        <f>SUM(CD274:CE274)</f>
        <v>0</v>
      </c>
      <c r="CD274" s="39">
        <v>0</v>
      </c>
      <c r="CE274" s="39">
        <v>0</v>
      </c>
      <c r="CF274" s="19">
        <f>SUM(CG274:CK274)</f>
        <v>0</v>
      </c>
      <c r="CG274" s="39">
        <v>0</v>
      </c>
      <c r="CH274" s="39">
        <v>0</v>
      </c>
      <c r="CI274" s="39">
        <v>0</v>
      </c>
      <c r="CJ274" s="39">
        <v>0</v>
      </c>
      <c r="CK274" s="39">
        <v>0</v>
      </c>
      <c r="CL274" s="39">
        <f>SUM(CM274:CQ274)</f>
        <v>0</v>
      </c>
      <c r="CM274" s="39">
        <v>0</v>
      </c>
      <c r="CN274" s="39">
        <v>0</v>
      </c>
      <c r="CO274" s="39">
        <v>0</v>
      </c>
      <c r="CP274" s="39">
        <v>0</v>
      </c>
      <c r="CQ274" s="39">
        <v>0</v>
      </c>
      <c r="CR274" s="39"/>
      <c r="CS274" s="39"/>
      <c r="CT274" s="35">
        <f>30522764-2338109-1736372</f>
        <v>26448283</v>
      </c>
      <c r="CU274" s="35"/>
      <c r="CV274" s="35"/>
      <c r="CW274" s="35"/>
      <c r="CX274" s="39">
        <f>SUM(CY274)</f>
        <v>0</v>
      </c>
      <c r="CY274" s="39">
        <f>SUM(CZ274:DA274)</f>
        <v>0</v>
      </c>
      <c r="CZ274" s="39">
        <v>0</v>
      </c>
      <c r="DA274" s="41">
        <v>0</v>
      </c>
    </row>
    <row r="275" spans="1:106" ht="15.75" x14ac:dyDescent="0.25">
      <c r="A275" s="74" t="s">
        <v>1</v>
      </c>
      <c r="B275" s="36" t="s">
        <v>84</v>
      </c>
      <c r="C275" s="37" t="s">
        <v>525</v>
      </c>
      <c r="D275" s="38">
        <f t="shared" si="821"/>
        <v>4462411</v>
      </c>
      <c r="E275" s="39">
        <f t="shared" si="822"/>
        <v>0</v>
      </c>
      <c r="F275" s="39">
        <f t="shared" si="823"/>
        <v>0</v>
      </c>
      <c r="G275" s="39">
        <v>0</v>
      </c>
      <c r="H275" s="39">
        <v>0</v>
      </c>
      <c r="I275" s="39">
        <f>SUM(J275:O275)</f>
        <v>0</v>
      </c>
      <c r="J275" s="39">
        <v>0</v>
      </c>
      <c r="K275" s="39">
        <v>0</v>
      </c>
      <c r="L275" s="39">
        <v>0</v>
      </c>
      <c r="M275" s="39">
        <v>0</v>
      </c>
      <c r="N275" s="39">
        <v>0</v>
      </c>
      <c r="O275" s="39">
        <v>0</v>
      </c>
      <c r="P275" s="39">
        <f>SUM(Q275:R275)</f>
        <v>0</v>
      </c>
      <c r="Q275" s="39">
        <v>0</v>
      </c>
      <c r="R275" s="39">
        <v>0</v>
      </c>
      <c r="S275" s="39">
        <v>0</v>
      </c>
      <c r="T275" s="39">
        <v>0</v>
      </c>
      <c r="U275" s="39">
        <f t="shared" si="862"/>
        <v>0</v>
      </c>
      <c r="V275" s="39">
        <v>0</v>
      </c>
      <c r="W275" s="39">
        <v>0</v>
      </c>
      <c r="X275" s="39">
        <v>0</v>
      </c>
      <c r="Y275" s="39">
        <v>0</v>
      </c>
      <c r="Z275" s="39">
        <v>0</v>
      </c>
      <c r="AA275" s="39">
        <v>0</v>
      </c>
      <c r="AB275" s="39">
        <v>0</v>
      </c>
      <c r="AC275" s="39">
        <v>0</v>
      </c>
      <c r="AD275" s="39"/>
      <c r="AE275" s="39">
        <f t="shared" si="863"/>
        <v>0</v>
      </c>
      <c r="AF275" s="39"/>
      <c r="AG275" s="39"/>
      <c r="AH275" s="39">
        <v>0</v>
      </c>
      <c r="AI275" s="39">
        <v>0</v>
      </c>
      <c r="AJ275" s="39">
        <v>0</v>
      </c>
      <c r="AK275" s="39">
        <v>0</v>
      </c>
      <c r="AL275" s="39">
        <v>0</v>
      </c>
      <c r="AM275" s="39">
        <v>0</v>
      </c>
      <c r="AN275" s="39">
        <v>0</v>
      </c>
      <c r="AO275" s="39">
        <v>0</v>
      </c>
      <c r="AP275" s="39">
        <v>0</v>
      </c>
      <c r="AQ275" s="39"/>
      <c r="AR275" s="39">
        <v>0</v>
      </c>
      <c r="AS275" s="39">
        <v>0</v>
      </c>
      <c r="AT275" s="39">
        <v>0</v>
      </c>
      <c r="AU275" s="39">
        <v>0</v>
      </c>
      <c r="AV275" s="39">
        <v>0</v>
      </c>
      <c r="AW275" s="39">
        <v>0</v>
      </c>
      <c r="AX275" s="39">
        <v>0</v>
      </c>
      <c r="AY275" s="39">
        <v>0</v>
      </c>
      <c r="AZ275" s="39">
        <v>0</v>
      </c>
      <c r="BA275" s="39">
        <v>0</v>
      </c>
      <c r="BB275" s="39">
        <f t="shared" si="864"/>
        <v>0</v>
      </c>
      <c r="BC275" s="39">
        <f t="shared" si="865"/>
        <v>0</v>
      </c>
      <c r="BD275" s="39">
        <v>0</v>
      </c>
      <c r="BE275" s="39">
        <v>0</v>
      </c>
      <c r="BF275" s="39">
        <v>0</v>
      </c>
      <c r="BG275" s="39">
        <f t="shared" si="866"/>
        <v>0</v>
      </c>
      <c r="BH275" s="39">
        <v>0</v>
      </c>
      <c r="BI275" s="39">
        <v>0</v>
      </c>
      <c r="BJ275" s="39">
        <v>0</v>
      </c>
      <c r="BK275" s="39">
        <v>0</v>
      </c>
      <c r="BL275" s="39">
        <f>SUM(BM275)</f>
        <v>0</v>
      </c>
      <c r="BM275" s="39">
        <v>0</v>
      </c>
      <c r="BN275" s="39">
        <v>0</v>
      </c>
      <c r="BO275" s="39">
        <f t="shared" si="867"/>
        <v>0</v>
      </c>
      <c r="BP275" s="39">
        <v>0</v>
      </c>
      <c r="BQ275" s="39">
        <v>0</v>
      </c>
      <c r="BR275" s="39">
        <v>0</v>
      </c>
      <c r="BS275" s="39">
        <v>0</v>
      </c>
      <c r="BT275" s="39">
        <v>0</v>
      </c>
      <c r="BU275" s="39">
        <v>0</v>
      </c>
      <c r="BV275" s="39">
        <v>0</v>
      </c>
      <c r="BW275" s="39">
        <v>0</v>
      </c>
      <c r="BX275" s="39">
        <v>0</v>
      </c>
      <c r="BY275" s="39">
        <v>0</v>
      </c>
      <c r="BZ275" s="39">
        <v>0</v>
      </c>
      <c r="CA275" s="39">
        <f t="shared" si="868"/>
        <v>4462411</v>
      </c>
      <c r="CB275" s="39">
        <f t="shared" si="869"/>
        <v>0</v>
      </c>
      <c r="CC275" s="39">
        <f>SUM(CD275:CE275)</f>
        <v>0</v>
      </c>
      <c r="CD275" s="39">
        <v>0</v>
      </c>
      <c r="CE275" s="39">
        <v>0</v>
      </c>
      <c r="CF275" s="19">
        <f t="shared" si="832"/>
        <v>0</v>
      </c>
      <c r="CG275" s="39">
        <v>0</v>
      </c>
      <c r="CH275" s="39">
        <v>0</v>
      </c>
      <c r="CI275" s="39">
        <v>0</v>
      </c>
      <c r="CJ275" s="39">
        <v>0</v>
      </c>
      <c r="CK275" s="39">
        <v>0</v>
      </c>
      <c r="CL275" s="39">
        <f t="shared" si="870"/>
        <v>0</v>
      </c>
      <c r="CM275" s="39">
        <v>0</v>
      </c>
      <c r="CN275" s="39">
        <v>0</v>
      </c>
      <c r="CO275" s="39">
        <v>0</v>
      </c>
      <c r="CP275" s="39">
        <v>0</v>
      </c>
      <c r="CQ275" s="39">
        <v>0</v>
      </c>
      <c r="CR275" s="39"/>
      <c r="CS275" s="39"/>
      <c r="CT275" s="35">
        <f>5685270-1006859-216000</f>
        <v>4462411</v>
      </c>
      <c r="CU275" s="35"/>
      <c r="CV275" s="35"/>
      <c r="CW275" s="35"/>
      <c r="CX275" s="39">
        <f>SUM(CY275)</f>
        <v>0</v>
      </c>
      <c r="CY275" s="39">
        <f>SUM(CZ275:DA275)</f>
        <v>0</v>
      </c>
      <c r="CZ275" s="39">
        <v>0</v>
      </c>
      <c r="DA275" s="41">
        <v>0</v>
      </c>
    </row>
    <row r="276" spans="1:106" ht="15.75" x14ac:dyDescent="0.25">
      <c r="A276" s="74" t="s">
        <v>1</v>
      </c>
      <c r="B276" s="36" t="s">
        <v>84</v>
      </c>
      <c r="C276" s="37" t="s">
        <v>322</v>
      </c>
      <c r="D276" s="38">
        <f t="shared" si="821"/>
        <v>1930255</v>
      </c>
      <c r="E276" s="39">
        <f t="shared" si="822"/>
        <v>0</v>
      </c>
      <c r="F276" s="39">
        <f t="shared" si="823"/>
        <v>0</v>
      </c>
      <c r="G276" s="39">
        <v>0</v>
      </c>
      <c r="H276" s="39">
        <v>0</v>
      </c>
      <c r="I276" s="39">
        <f t="shared" ref="I276:I279" si="871">SUM(J276:O276)</f>
        <v>0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39">
        <f t="shared" ref="P276:P280" si="872">SUM(Q276:R276)</f>
        <v>0</v>
      </c>
      <c r="Q276" s="39">
        <v>0</v>
      </c>
      <c r="R276" s="39">
        <v>0</v>
      </c>
      <c r="S276" s="39">
        <v>0</v>
      </c>
      <c r="T276" s="39">
        <v>0</v>
      </c>
      <c r="U276" s="39">
        <f t="shared" si="862"/>
        <v>0</v>
      </c>
      <c r="V276" s="39">
        <v>0</v>
      </c>
      <c r="W276" s="39">
        <v>0</v>
      </c>
      <c r="X276" s="39">
        <v>0</v>
      </c>
      <c r="Y276" s="39">
        <v>0</v>
      </c>
      <c r="Z276" s="39">
        <v>0</v>
      </c>
      <c r="AA276" s="39">
        <v>0</v>
      </c>
      <c r="AB276" s="39">
        <v>0</v>
      </c>
      <c r="AC276" s="39">
        <v>0</v>
      </c>
      <c r="AD276" s="39"/>
      <c r="AE276" s="39">
        <f t="shared" si="863"/>
        <v>0</v>
      </c>
      <c r="AF276" s="39"/>
      <c r="AG276" s="39"/>
      <c r="AH276" s="39">
        <v>0</v>
      </c>
      <c r="AI276" s="39">
        <v>0</v>
      </c>
      <c r="AJ276" s="39">
        <v>0</v>
      </c>
      <c r="AK276" s="39">
        <v>0</v>
      </c>
      <c r="AL276" s="39">
        <v>0</v>
      </c>
      <c r="AM276" s="39">
        <v>0</v>
      </c>
      <c r="AN276" s="39">
        <v>0</v>
      </c>
      <c r="AO276" s="39">
        <v>0</v>
      </c>
      <c r="AP276" s="39">
        <v>0</v>
      </c>
      <c r="AQ276" s="39"/>
      <c r="AR276" s="39">
        <v>0</v>
      </c>
      <c r="AS276" s="39">
        <v>0</v>
      </c>
      <c r="AT276" s="39">
        <v>0</v>
      </c>
      <c r="AU276" s="39">
        <v>0</v>
      </c>
      <c r="AV276" s="39">
        <v>0</v>
      </c>
      <c r="AW276" s="39">
        <v>0</v>
      </c>
      <c r="AX276" s="39">
        <v>0</v>
      </c>
      <c r="AY276" s="39">
        <v>0</v>
      </c>
      <c r="AZ276" s="39">
        <v>0</v>
      </c>
      <c r="BA276" s="39">
        <v>0</v>
      </c>
      <c r="BB276" s="39">
        <f t="shared" si="864"/>
        <v>0</v>
      </c>
      <c r="BC276" s="39">
        <f t="shared" si="865"/>
        <v>0</v>
      </c>
      <c r="BD276" s="39">
        <v>0</v>
      </c>
      <c r="BE276" s="39">
        <v>0</v>
      </c>
      <c r="BF276" s="39">
        <v>0</v>
      </c>
      <c r="BG276" s="39">
        <f t="shared" si="866"/>
        <v>0</v>
      </c>
      <c r="BH276" s="39">
        <v>0</v>
      </c>
      <c r="BI276" s="39">
        <v>0</v>
      </c>
      <c r="BJ276" s="39">
        <v>0</v>
      </c>
      <c r="BK276" s="39">
        <v>0</v>
      </c>
      <c r="BL276" s="39">
        <f t="shared" ref="BL276:BL280" si="873">SUM(BM276)</f>
        <v>0</v>
      </c>
      <c r="BM276" s="39">
        <v>0</v>
      </c>
      <c r="BN276" s="39">
        <v>0</v>
      </c>
      <c r="BO276" s="39">
        <f t="shared" si="867"/>
        <v>0</v>
      </c>
      <c r="BP276" s="39">
        <v>0</v>
      </c>
      <c r="BQ276" s="39">
        <v>0</v>
      </c>
      <c r="BR276" s="39">
        <v>0</v>
      </c>
      <c r="BS276" s="39">
        <v>0</v>
      </c>
      <c r="BT276" s="39">
        <v>0</v>
      </c>
      <c r="BU276" s="39">
        <v>0</v>
      </c>
      <c r="BV276" s="39">
        <v>0</v>
      </c>
      <c r="BW276" s="39">
        <v>0</v>
      </c>
      <c r="BX276" s="39">
        <v>0</v>
      </c>
      <c r="BY276" s="39">
        <v>0</v>
      </c>
      <c r="BZ276" s="39">
        <v>0</v>
      </c>
      <c r="CA276" s="39">
        <f t="shared" si="868"/>
        <v>1930255</v>
      </c>
      <c r="CB276" s="39">
        <f t="shared" si="869"/>
        <v>0</v>
      </c>
      <c r="CC276" s="39">
        <f t="shared" ref="CC276:CC279" si="874">SUM(CD276:CE276)</f>
        <v>0</v>
      </c>
      <c r="CD276" s="39">
        <v>0</v>
      </c>
      <c r="CE276" s="39">
        <v>0</v>
      </c>
      <c r="CF276" s="19">
        <f t="shared" si="832"/>
        <v>0</v>
      </c>
      <c r="CG276" s="39">
        <v>0</v>
      </c>
      <c r="CH276" s="39">
        <v>0</v>
      </c>
      <c r="CI276" s="39">
        <v>0</v>
      </c>
      <c r="CJ276" s="39">
        <v>0</v>
      </c>
      <c r="CK276" s="39">
        <v>0</v>
      </c>
      <c r="CL276" s="39">
        <f t="shared" si="870"/>
        <v>0</v>
      </c>
      <c r="CM276" s="39">
        <v>0</v>
      </c>
      <c r="CN276" s="39">
        <v>0</v>
      </c>
      <c r="CO276" s="39">
        <v>0</v>
      </c>
      <c r="CP276" s="39">
        <v>0</v>
      </c>
      <c r="CQ276" s="39">
        <v>0</v>
      </c>
      <c r="CR276" s="39"/>
      <c r="CS276" s="39"/>
      <c r="CT276" s="35">
        <f>3365065-1434810</f>
        <v>1930255</v>
      </c>
      <c r="CU276" s="35"/>
      <c r="CV276" s="35"/>
      <c r="CW276" s="35"/>
      <c r="CX276" s="39">
        <f t="shared" ref="CX276:CX280" si="875">SUM(CY276)</f>
        <v>0</v>
      </c>
      <c r="CY276" s="39">
        <f t="shared" ref="CY276:CY279" si="876">SUM(CZ276:DA276)</f>
        <v>0</v>
      </c>
      <c r="CZ276" s="39">
        <v>0</v>
      </c>
      <c r="DA276" s="41">
        <v>0</v>
      </c>
    </row>
    <row r="277" spans="1:106" ht="15.75" x14ac:dyDescent="0.25">
      <c r="A277" s="72" t="s">
        <v>1</v>
      </c>
      <c r="B277" s="21" t="s">
        <v>86</v>
      </c>
      <c r="C277" s="22" t="s">
        <v>527</v>
      </c>
      <c r="D277" s="18">
        <f t="shared" si="821"/>
        <v>1118200</v>
      </c>
      <c r="E277" s="19">
        <f t="shared" si="822"/>
        <v>0</v>
      </c>
      <c r="F277" s="19">
        <f t="shared" si="823"/>
        <v>0</v>
      </c>
      <c r="G277" s="19">
        <v>0</v>
      </c>
      <c r="H277" s="19">
        <v>0</v>
      </c>
      <c r="I277" s="19">
        <f t="shared" si="871"/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f t="shared" si="872"/>
        <v>0</v>
      </c>
      <c r="Q277" s="19">
        <v>0</v>
      </c>
      <c r="R277" s="19">
        <v>0</v>
      </c>
      <c r="S277" s="19">
        <v>0</v>
      </c>
      <c r="T277" s="19">
        <v>0</v>
      </c>
      <c r="U277" s="19">
        <f t="shared" si="862"/>
        <v>0</v>
      </c>
      <c r="V277" s="19">
        <v>0</v>
      </c>
      <c r="W277" s="19">
        <v>0</v>
      </c>
      <c r="X277" s="19">
        <v>0</v>
      </c>
      <c r="Y277" s="19">
        <v>0</v>
      </c>
      <c r="Z277" s="19">
        <v>0</v>
      </c>
      <c r="AA277" s="19">
        <v>0</v>
      </c>
      <c r="AB277" s="19">
        <v>0</v>
      </c>
      <c r="AC277" s="19">
        <v>0</v>
      </c>
      <c r="AD277" s="19"/>
      <c r="AE277" s="19">
        <f t="shared" si="863"/>
        <v>0</v>
      </c>
      <c r="AF277" s="19"/>
      <c r="AG277" s="19"/>
      <c r="AH277" s="19">
        <v>0</v>
      </c>
      <c r="AI277" s="19">
        <v>0</v>
      </c>
      <c r="AJ277" s="19">
        <v>0</v>
      </c>
      <c r="AK277" s="19">
        <v>0</v>
      </c>
      <c r="AL277" s="19">
        <v>0</v>
      </c>
      <c r="AM277" s="19">
        <v>0</v>
      </c>
      <c r="AN277" s="19">
        <v>0</v>
      </c>
      <c r="AO277" s="19">
        <v>0</v>
      </c>
      <c r="AP277" s="19">
        <v>0</v>
      </c>
      <c r="AQ277" s="19"/>
      <c r="AR277" s="19">
        <v>0</v>
      </c>
      <c r="AS277" s="19">
        <v>0</v>
      </c>
      <c r="AT277" s="19">
        <v>0</v>
      </c>
      <c r="AU277" s="19">
        <v>0</v>
      </c>
      <c r="AV277" s="19">
        <v>0</v>
      </c>
      <c r="AW277" s="19">
        <v>0</v>
      </c>
      <c r="AX277" s="19">
        <v>0</v>
      </c>
      <c r="AY277" s="19">
        <v>0</v>
      </c>
      <c r="AZ277" s="19">
        <v>0</v>
      </c>
      <c r="BA277" s="19">
        <v>0</v>
      </c>
      <c r="BB277" s="19">
        <f t="shared" si="864"/>
        <v>0</v>
      </c>
      <c r="BC277" s="19">
        <f t="shared" si="865"/>
        <v>0</v>
      </c>
      <c r="BD277" s="19">
        <v>0</v>
      </c>
      <c r="BE277" s="19">
        <v>0</v>
      </c>
      <c r="BF277" s="19">
        <v>0</v>
      </c>
      <c r="BG277" s="19">
        <f t="shared" si="866"/>
        <v>0</v>
      </c>
      <c r="BH277" s="19">
        <v>0</v>
      </c>
      <c r="BI277" s="19">
        <v>0</v>
      </c>
      <c r="BJ277" s="19">
        <v>0</v>
      </c>
      <c r="BK277" s="19">
        <v>0</v>
      </c>
      <c r="BL277" s="19">
        <f t="shared" si="873"/>
        <v>0</v>
      </c>
      <c r="BM277" s="19">
        <v>0</v>
      </c>
      <c r="BN277" s="19">
        <v>0</v>
      </c>
      <c r="BO277" s="19">
        <f t="shared" si="867"/>
        <v>0</v>
      </c>
      <c r="BP277" s="19">
        <v>0</v>
      </c>
      <c r="BQ277" s="19">
        <v>0</v>
      </c>
      <c r="BR277" s="19">
        <v>0</v>
      </c>
      <c r="BS277" s="19">
        <v>0</v>
      </c>
      <c r="BT277" s="19">
        <v>0</v>
      </c>
      <c r="BU277" s="19">
        <v>0</v>
      </c>
      <c r="BV277" s="19">
        <v>0</v>
      </c>
      <c r="BW277" s="19">
        <v>0</v>
      </c>
      <c r="BX277" s="19">
        <v>0</v>
      </c>
      <c r="BY277" s="19">
        <v>0</v>
      </c>
      <c r="BZ277" s="19">
        <v>0</v>
      </c>
      <c r="CA277" s="19">
        <f t="shared" si="868"/>
        <v>1118200</v>
      </c>
      <c r="CB277" s="19">
        <f t="shared" si="869"/>
        <v>0</v>
      </c>
      <c r="CC277" s="19">
        <f t="shared" si="874"/>
        <v>0</v>
      </c>
      <c r="CD277" s="19">
        <v>0</v>
      </c>
      <c r="CE277" s="19">
        <v>0</v>
      </c>
      <c r="CF277" s="19">
        <f t="shared" si="832"/>
        <v>0</v>
      </c>
      <c r="CG277" s="19">
        <v>0</v>
      </c>
      <c r="CH277" s="19">
        <v>0</v>
      </c>
      <c r="CI277" s="19">
        <v>0</v>
      </c>
      <c r="CJ277" s="19">
        <v>0</v>
      </c>
      <c r="CK277" s="19">
        <v>0</v>
      </c>
      <c r="CL277" s="19">
        <f t="shared" si="870"/>
        <v>0</v>
      </c>
      <c r="CM277" s="19">
        <v>0</v>
      </c>
      <c r="CN277" s="19">
        <v>0</v>
      </c>
      <c r="CO277" s="19">
        <v>0</v>
      </c>
      <c r="CP277" s="19">
        <v>0</v>
      </c>
      <c r="CQ277" s="19">
        <v>0</v>
      </c>
      <c r="CR277" s="19"/>
      <c r="CS277" s="19"/>
      <c r="CT277" s="35">
        <v>1118200</v>
      </c>
      <c r="CU277" s="35"/>
      <c r="CV277" s="35"/>
      <c r="CW277" s="35"/>
      <c r="CX277" s="19">
        <f t="shared" si="875"/>
        <v>0</v>
      </c>
      <c r="CY277" s="19">
        <f t="shared" si="876"/>
        <v>0</v>
      </c>
      <c r="CZ277" s="19">
        <v>0</v>
      </c>
      <c r="DA277" s="20">
        <v>0</v>
      </c>
    </row>
    <row r="278" spans="1:106" ht="31.5" x14ac:dyDescent="0.25">
      <c r="A278" s="74"/>
      <c r="B278" s="42" t="s">
        <v>153</v>
      </c>
      <c r="C278" s="43" t="s">
        <v>598</v>
      </c>
      <c r="D278" s="38">
        <f t="shared" si="821"/>
        <v>6790000</v>
      </c>
      <c r="E278" s="39">
        <f t="shared" si="822"/>
        <v>0</v>
      </c>
      <c r="F278" s="39">
        <f t="shared" si="823"/>
        <v>0</v>
      </c>
      <c r="G278" s="39">
        <v>0</v>
      </c>
      <c r="H278" s="39">
        <v>0</v>
      </c>
      <c r="I278" s="39">
        <f t="shared" si="871"/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0</v>
      </c>
      <c r="O278" s="39">
        <v>0</v>
      </c>
      <c r="P278" s="39">
        <f t="shared" si="872"/>
        <v>0</v>
      </c>
      <c r="Q278" s="39">
        <v>0</v>
      </c>
      <c r="R278" s="39">
        <v>0</v>
      </c>
      <c r="S278" s="39">
        <v>0</v>
      </c>
      <c r="T278" s="39">
        <v>0</v>
      </c>
      <c r="U278" s="39">
        <f t="shared" si="862"/>
        <v>0</v>
      </c>
      <c r="V278" s="39">
        <v>0</v>
      </c>
      <c r="W278" s="39">
        <v>0</v>
      </c>
      <c r="X278" s="39">
        <v>0</v>
      </c>
      <c r="Y278" s="39">
        <v>0</v>
      </c>
      <c r="Z278" s="39">
        <v>0</v>
      </c>
      <c r="AA278" s="39">
        <v>0</v>
      </c>
      <c r="AB278" s="39">
        <v>0</v>
      </c>
      <c r="AC278" s="39">
        <v>0</v>
      </c>
      <c r="AD278" s="40"/>
      <c r="AE278" s="39">
        <f t="shared" si="863"/>
        <v>0</v>
      </c>
      <c r="AF278" s="40"/>
      <c r="AG278" s="40"/>
      <c r="AH278" s="39">
        <v>0</v>
      </c>
      <c r="AI278" s="39">
        <v>0</v>
      </c>
      <c r="AJ278" s="39">
        <v>0</v>
      </c>
      <c r="AK278" s="39">
        <v>0</v>
      </c>
      <c r="AL278" s="39">
        <v>0</v>
      </c>
      <c r="AM278" s="39">
        <v>0</v>
      </c>
      <c r="AN278" s="39">
        <v>0</v>
      </c>
      <c r="AO278" s="39">
        <v>0</v>
      </c>
      <c r="AP278" s="39">
        <v>0</v>
      </c>
      <c r="AQ278" s="39"/>
      <c r="AR278" s="39">
        <v>0</v>
      </c>
      <c r="AS278" s="39">
        <v>0</v>
      </c>
      <c r="AT278" s="39">
        <v>0</v>
      </c>
      <c r="AU278" s="39">
        <v>0</v>
      </c>
      <c r="AV278" s="39">
        <v>0</v>
      </c>
      <c r="AW278" s="39">
        <v>0</v>
      </c>
      <c r="AX278" s="39">
        <v>0</v>
      </c>
      <c r="AY278" s="39">
        <v>0</v>
      </c>
      <c r="AZ278" s="39">
        <v>0</v>
      </c>
      <c r="BA278" s="39">
        <v>0</v>
      </c>
      <c r="BB278" s="39">
        <f t="shared" si="864"/>
        <v>0</v>
      </c>
      <c r="BC278" s="39">
        <f t="shared" si="865"/>
        <v>0</v>
      </c>
      <c r="BD278" s="39">
        <v>0</v>
      </c>
      <c r="BE278" s="39">
        <v>0</v>
      </c>
      <c r="BF278" s="39">
        <v>0</v>
      </c>
      <c r="BG278" s="39">
        <f t="shared" si="866"/>
        <v>0</v>
      </c>
      <c r="BH278" s="39">
        <v>0</v>
      </c>
      <c r="BI278" s="39">
        <v>0</v>
      </c>
      <c r="BJ278" s="39">
        <v>0</v>
      </c>
      <c r="BK278" s="39">
        <v>0</v>
      </c>
      <c r="BL278" s="39">
        <f t="shared" si="873"/>
        <v>0</v>
      </c>
      <c r="BM278" s="39">
        <v>0</v>
      </c>
      <c r="BN278" s="39">
        <v>0</v>
      </c>
      <c r="BO278" s="39">
        <f t="shared" si="867"/>
        <v>0</v>
      </c>
      <c r="BP278" s="39">
        <v>0</v>
      </c>
      <c r="BQ278" s="39">
        <v>0</v>
      </c>
      <c r="BR278" s="39">
        <v>0</v>
      </c>
      <c r="BS278" s="39">
        <v>0</v>
      </c>
      <c r="BT278" s="39">
        <v>0</v>
      </c>
      <c r="BU278" s="39">
        <v>0</v>
      </c>
      <c r="BV278" s="39">
        <v>0</v>
      </c>
      <c r="BW278" s="39">
        <v>0</v>
      </c>
      <c r="BX278" s="39">
        <v>0</v>
      </c>
      <c r="BY278" s="39">
        <v>0</v>
      </c>
      <c r="BZ278" s="39">
        <v>0</v>
      </c>
      <c r="CA278" s="39">
        <f t="shared" si="868"/>
        <v>6790000</v>
      </c>
      <c r="CB278" s="39">
        <f t="shared" si="869"/>
        <v>0</v>
      </c>
      <c r="CC278" s="39">
        <f t="shared" si="874"/>
        <v>0</v>
      </c>
      <c r="CD278" s="39">
        <v>0</v>
      </c>
      <c r="CE278" s="35">
        <f>8631700-8631700</f>
        <v>0</v>
      </c>
      <c r="CF278" s="19">
        <f t="shared" si="832"/>
        <v>0</v>
      </c>
      <c r="CG278" s="39">
        <v>0</v>
      </c>
      <c r="CH278" s="39">
        <v>0</v>
      </c>
      <c r="CI278" s="39">
        <v>0</v>
      </c>
      <c r="CJ278" s="39">
        <v>0</v>
      </c>
      <c r="CK278" s="39">
        <v>0</v>
      </c>
      <c r="CL278" s="39">
        <f t="shared" si="870"/>
        <v>0</v>
      </c>
      <c r="CM278" s="39">
        <v>0</v>
      </c>
      <c r="CN278" s="39">
        <v>0</v>
      </c>
      <c r="CO278" s="39">
        <v>0</v>
      </c>
      <c r="CP278" s="39">
        <v>0</v>
      </c>
      <c r="CQ278" s="39">
        <v>0</v>
      </c>
      <c r="CR278" s="39"/>
      <c r="CS278" s="39"/>
      <c r="CT278" s="35">
        <v>6790000</v>
      </c>
      <c r="CU278" s="35"/>
      <c r="CV278" s="35"/>
      <c r="CW278" s="35"/>
      <c r="CX278" s="39">
        <f t="shared" si="875"/>
        <v>0</v>
      </c>
      <c r="CY278" s="39">
        <f t="shared" si="876"/>
        <v>0</v>
      </c>
      <c r="CZ278" s="39">
        <v>0</v>
      </c>
      <c r="DA278" s="41">
        <v>0</v>
      </c>
    </row>
    <row r="279" spans="1:106" ht="15.75" x14ac:dyDescent="0.25">
      <c r="A279" s="74"/>
      <c r="B279" s="42" t="s">
        <v>92</v>
      </c>
      <c r="C279" s="43" t="s">
        <v>528</v>
      </c>
      <c r="D279" s="38">
        <f t="shared" si="821"/>
        <v>1332876</v>
      </c>
      <c r="E279" s="39">
        <f t="shared" si="822"/>
        <v>1332876</v>
      </c>
      <c r="F279" s="39">
        <f t="shared" si="823"/>
        <v>1332876</v>
      </c>
      <c r="G279" s="39">
        <v>0</v>
      </c>
      <c r="H279" s="39">
        <v>0</v>
      </c>
      <c r="I279" s="39">
        <f t="shared" si="871"/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  <c r="O279" s="39">
        <v>0</v>
      </c>
      <c r="P279" s="39">
        <f t="shared" si="872"/>
        <v>0</v>
      </c>
      <c r="Q279" s="39">
        <v>0</v>
      </c>
      <c r="R279" s="39">
        <v>0</v>
      </c>
      <c r="S279" s="39">
        <v>0</v>
      </c>
      <c r="T279" s="39">
        <v>0</v>
      </c>
      <c r="U279" s="39">
        <f t="shared" si="862"/>
        <v>0</v>
      </c>
      <c r="V279" s="39">
        <v>0</v>
      </c>
      <c r="W279" s="39">
        <v>0</v>
      </c>
      <c r="X279" s="39">
        <v>0</v>
      </c>
      <c r="Y279" s="39">
        <v>0</v>
      </c>
      <c r="Z279" s="39">
        <v>0</v>
      </c>
      <c r="AA279" s="39">
        <v>0</v>
      </c>
      <c r="AB279" s="39">
        <v>0</v>
      </c>
      <c r="AC279" s="39">
        <v>0</v>
      </c>
      <c r="AD279" s="40"/>
      <c r="AE279" s="39">
        <f t="shared" si="863"/>
        <v>1332876</v>
      </c>
      <c r="AF279" s="40"/>
      <c r="AG279" s="40"/>
      <c r="AH279" s="39">
        <v>0</v>
      </c>
      <c r="AI279" s="39">
        <v>0</v>
      </c>
      <c r="AJ279" s="39">
        <v>0</v>
      </c>
      <c r="AK279" s="39">
        <v>0</v>
      </c>
      <c r="AL279" s="39">
        <v>0</v>
      </c>
      <c r="AM279" s="39">
        <v>0</v>
      </c>
      <c r="AN279" s="39">
        <v>0</v>
      </c>
      <c r="AO279" s="39">
        <v>0</v>
      </c>
      <c r="AP279" s="39">
        <v>0</v>
      </c>
      <c r="AQ279" s="39"/>
      <c r="AR279" s="39">
        <v>0</v>
      </c>
      <c r="AS279" s="39">
        <v>0</v>
      </c>
      <c r="AT279" s="39">
        <v>0</v>
      </c>
      <c r="AU279" s="39">
        <v>0</v>
      </c>
      <c r="AV279" s="39">
        <v>0</v>
      </c>
      <c r="AW279" s="39">
        <v>0</v>
      </c>
      <c r="AX279" s="39">
        <v>0</v>
      </c>
      <c r="AY279" s="39">
        <v>0</v>
      </c>
      <c r="AZ279" s="39">
        <v>0</v>
      </c>
      <c r="BA279" s="35">
        <v>1332876</v>
      </c>
      <c r="BB279" s="39">
        <f t="shared" si="864"/>
        <v>0</v>
      </c>
      <c r="BC279" s="39">
        <f t="shared" si="865"/>
        <v>0</v>
      </c>
      <c r="BD279" s="39">
        <v>0</v>
      </c>
      <c r="BE279" s="39">
        <v>0</v>
      </c>
      <c r="BF279" s="39">
        <v>0</v>
      </c>
      <c r="BG279" s="39">
        <f t="shared" si="866"/>
        <v>0</v>
      </c>
      <c r="BH279" s="39">
        <v>0</v>
      </c>
      <c r="BI279" s="39">
        <v>0</v>
      </c>
      <c r="BJ279" s="39">
        <v>0</v>
      </c>
      <c r="BK279" s="39">
        <v>0</v>
      </c>
      <c r="BL279" s="39">
        <f t="shared" si="873"/>
        <v>0</v>
      </c>
      <c r="BM279" s="39">
        <v>0</v>
      </c>
      <c r="BN279" s="39">
        <v>0</v>
      </c>
      <c r="BO279" s="39">
        <f t="shared" si="867"/>
        <v>0</v>
      </c>
      <c r="BP279" s="39">
        <v>0</v>
      </c>
      <c r="BQ279" s="39">
        <v>0</v>
      </c>
      <c r="BR279" s="39">
        <v>0</v>
      </c>
      <c r="BS279" s="39">
        <v>0</v>
      </c>
      <c r="BT279" s="39">
        <v>0</v>
      </c>
      <c r="BU279" s="39">
        <v>0</v>
      </c>
      <c r="BV279" s="39">
        <v>0</v>
      </c>
      <c r="BW279" s="39">
        <v>0</v>
      </c>
      <c r="BX279" s="39">
        <v>0</v>
      </c>
      <c r="BY279" s="39">
        <v>0</v>
      </c>
      <c r="BZ279" s="39">
        <v>0</v>
      </c>
      <c r="CA279" s="39">
        <f t="shared" si="868"/>
        <v>0</v>
      </c>
      <c r="CB279" s="39">
        <f t="shared" si="869"/>
        <v>0</v>
      </c>
      <c r="CC279" s="39">
        <f t="shared" si="874"/>
        <v>0</v>
      </c>
      <c r="CD279" s="39">
        <v>0</v>
      </c>
      <c r="CE279" s="39">
        <v>0</v>
      </c>
      <c r="CF279" s="19">
        <f t="shared" si="832"/>
        <v>0</v>
      </c>
      <c r="CG279" s="39">
        <v>0</v>
      </c>
      <c r="CH279" s="39">
        <v>0</v>
      </c>
      <c r="CI279" s="39">
        <v>0</v>
      </c>
      <c r="CJ279" s="39">
        <v>0</v>
      </c>
      <c r="CK279" s="39">
        <v>0</v>
      </c>
      <c r="CL279" s="39">
        <f t="shared" si="870"/>
        <v>0</v>
      </c>
      <c r="CM279" s="39">
        <v>0</v>
      </c>
      <c r="CN279" s="39">
        <v>0</v>
      </c>
      <c r="CO279" s="39">
        <v>0</v>
      </c>
      <c r="CP279" s="39">
        <v>0</v>
      </c>
      <c r="CQ279" s="39">
        <v>0</v>
      </c>
      <c r="CR279" s="39"/>
      <c r="CS279" s="39"/>
      <c r="CT279" s="35"/>
      <c r="CU279" s="35"/>
      <c r="CV279" s="35"/>
      <c r="CW279" s="35"/>
      <c r="CX279" s="39">
        <f t="shared" si="875"/>
        <v>0</v>
      </c>
      <c r="CY279" s="39">
        <f t="shared" si="876"/>
        <v>0</v>
      </c>
      <c r="CZ279" s="39">
        <v>0</v>
      </c>
      <c r="DA279" s="41">
        <v>0</v>
      </c>
    </row>
    <row r="280" spans="1:106" ht="31.5" x14ac:dyDescent="0.25">
      <c r="A280" s="72" t="s">
        <v>1</v>
      </c>
      <c r="B280" s="21" t="s">
        <v>295</v>
      </c>
      <c r="C280" s="22" t="s">
        <v>373</v>
      </c>
      <c r="D280" s="18">
        <f t="shared" si="821"/>
        <v>5430000</v>
      </c>
      <c r="E280" s="19">
        <f t="shared" si="822"/>
        <v>0</v>
      </c>
      <c r="F280" s="19">
        <f t="shared" si="823"/>
        <v>0</v>
      </c>
      <c r="G280" s="19">
        <v>0</v>
      </c>
      <c r="H280" s="19">
        <v>0</v>
      </c>
      <c r="I280" s="19">
        <f t="shared" ref="I280" si="877">SUM(J280:O280)</f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f t="shared" si="872"/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f t="shared" si="862"/>
        <v>0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0</v>
      </c>
      <c r="AE280" s="19">
        <f t="shared" si="863"/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/>
      <c r="AR280" s="19">
        <v>0</v>
      </c>
      <c r="AS280" s="19">
        <v>0</v>
      </c>
      <c r="AT280" s="19">
        <v>0</v>
      </c>
      <c r="AU280" s="19">
        <v>0</v>
      </c>
      <c r="AV280" s="19">
        <v>0</v>
      </c>
      <c r="AW280" s="19">
        <v>0</v>
      </c>
      <c r="AX280" s="19">
        <v>0</v>
      </c>
      <c r="AY280" s="19">
        <v>0</v>
      </c>
      <c r="AZ280" s="19">
        <v>0</v>
      </c>
      <c r="BA280" s="19">
        <v>0</v>
      </c>
      <c r="BB280" s="19">
        <f t="shared" si="864"/>
        <v>0</v>
      </c>
      <c r="BC280" s="19">
        <f t="shared" ref="BC280" si="878">SUM(BD280:BF280)</f>
        <v>0</v>
      </c>
      <c r="BD280" s="19">
        <v>0</v>
      </c>
      <c r="BE280" s="19">
        <v>0</v>
      </c>
      <c r="BF280" s="19">
        <v>0</v>
      </c>
      <c r="BG280" s="19">
        <f t="shared" ref="BG280" si="879">SUM(BI280:BI280)</f>
        <v>0</v>
      </c>
      <c r="BH280" s="19">
        <v>0</v>
      </c>
      <c r="BI280" s="19">
        <v>0</v>
      </c>
      <c r="BJ280" s="19">
        <v>0</v>
      </c>
      <c r="BK280" s="19">
        <v>0</v>
      </c>
      <c r="BL280" s="19">
        <f t="shared" si="873"/>
        <v>0</v>
      </c>
      <c r="BM280" s="19">
        <v>0</v>
      </c>
      <c r="BN280" s="19">
        <v>0</v>
      </c>
      <c r="BO280" s="19">
        <f t="shared" si="867"/>
        <v>0</v>
      </c>
      <c r="BP280" s="19">
        <v>0</v>
      </c>
      <c r="BQ280" s="19">
        <v>0</v>
      </c>
      <c r="BR280" s="19">
        <v>0</v>
      </c>
      <c r="BS280" s="19">
        <v>0</v>
      </c>
      <c r="BT280" s="19">
        <v>0</v>
      </c>
      <c r="BU280" s="19">
        <v>0</v>
      </c>
      <c r="BV280" s="19">
        <v>0</v>
      </c>
      <c r="BW280" s="19">
        <v>0</v>
      </c>
      <c r="BX280" s="19">
        <v>0</v>
      </c>
      <c r="BY280" s="19">
        <v>0</v>
      </c>
      <c r="BZ280" s="19">
        <v>0</v>
      </c>
      <c r="CA280" s="19">
        <f t="shared" si="868"/>
        <v>5430000</v>
      </c>
      <c r="CB280" s="19">
        <f t="shared" si="869"/>
        <v>0</v>
      </c>
      <c r="CC280" s="19">
        <f t="shared" ref="CC280" si="880">SUM(CD280:CE280)</f>
        <v>0</v>
      </c>
      <c r="CD280" s="19">
        <v>0</v>
      </c>
      <c r="CE280" s="19">
        <v>0</v>
      </c>
      <c r="CF280" s="19">
        <f t="shared" si="832"/>
        <v>0</v>
      </c>
      <c r="CG280" s="19">
        <v>0</v>
      </c>
      <c r="CH280" s="19">
        <v>0</v>
      </c>
      <c r="CI280" s="19">
        <v>0</v>
      </c>
      <c r="CJ280" s="19">
        <v>0</v>
      </c>
      <c r="CK280" s="19">
        <v>0</v>
      </c>
      <c r="CL280" s="19">
        <f t="shared" ref="CL280" si="881">SUM(CM280:CQ280)</f>
        <v>0</v>
      </c>
      <c r="CM280" s="19">
        <v>0</v>
      </c>
      <c r="CN280" s="19">
        <v>0</v>
      </c>
      <c r="CO280" s="19">
        <v>0</v>
      </c>
      <c r="CP280" s="19">
        <v>0</v>
      </c>
      <c r="CQ280" s="19">
        <v>0</v>
      </c>
      <c r="CR280" s="19"/>
      <c r="CS280" s="19"/>
      <c r="CT280" s="35">
        <v>5430000</v>
      </c>
      <c r="CU280" s="35"/>
      <c r="CV280" s="35"/>
      <c r="CW280" s="35"/>
      <c r="CX280" s="19">
        <f t="shared" si="875"/>
        <v>0</v>
      </c>
      <c r="CY280" s="19">
        <f t="shared" ref="CY280" si="882">SUM(CZ280:DA280)</f>
        <v>0</v>
      </c>
      <c r="CZ280" s="19">
        <v>0</v>
      </c>
      <c r="DA280" s="20">
        <v>0</v>
      </c>
    </row>
    <row r="281" spans="1:106" ht="15.75" x14ac:dyDescent="0.25">
      <c r="A281" s="72" t="s">
        <v>1</v>
      </c>
      <c r="B281" s="36" t="s">
        <v>529</v>
      </c>
      <c r="C281" s="22" t="s">
        <v>588</v>
      </c>
      <c r="D281" s="18">
        <f t="shared" si="821"/>
        <v>18182846</v>
      </c>
      <c r="E281" s="19">
        <f t="shared" si="822"/>
        <v>0</v>
      </c>
      <c r="F281" s="19">
        <f t="shared" si="823"/>
        <v>0</v>
      </c>
      <c r="G281" s="19">
        <v>0</v>
      </c>
      <c r="H281" s="19">
        <v>0</v>
      </c>
      <c r="I281" s="19">
        <f t="shared" si="707"/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f t="shared" si="708"/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f t="shared" si="853"/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v>0</v>
      </c>
      <c r="AE281" s="19">
        <f t="shared" si="863"/>
        <v>0</v>
      </c>
      <c r="AF281" s="19">
        <v>0</v>
      </c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>
        <v>0</v>
      </c>
      <c r="AQ281" s="19"/>
      <c r="AR281" s="19">
        <v>0</v>
      </c>
      <c r="AS281" s="19">
        <v>0</v>
      </c>
      <c r="AT281" s="19">
        <v>0</v>
      </c>
      <c r="AU281" s="19">
        <v>0</v>
      </c>
      <c r="AV281" s="19">
        <v>0</v>
      </c>
      <c r="AW281" s="19">
        <v>0</v>
      </c>
      <c r="AX281" s="19">
        <v>0</v>
      </c>
      <c r="AY281" s="19">
        <v>0</v>
      </c>
      <c r="AZ281" s="19">
        <v>0</v>
      </c>
      <c r="BA281" s="19">
        <v>0</v>
      </c>
      <c r="BB281" s="19">
        <f t="shared" si="864"/>
        <v>0</v>
      </c>
      <c r="BC281" s="19">
        <f t="shared" si="854"/>
        <v>0</v>
      </c>
      <c r="BD281" s="19">
        <v>0</v>
      </c>
      <c r="BE281" s="19">
        <v>0</v>
      </c>
      <c r="BF281" s="19">
        <v>0</v>
      </c>
      <c r="BG281" s="19">
        <f>SUM(BI281:BI281)</f>
        <v>0</v>
      </c>
      <c r="BH281" s="19">
        <v>0</v>
      </c>
      <c r="BI281" s="19">
        <v>0</v>
      </c>
      <c r="BJ281" s="19">
        <v>0</v>
      </c>
      <c r="BK281" s="19">
        <v>0</v>
      </c>
      <c r="BL281" s="19">
        <f t="shared" si="710"/>
        <v>0</v>
      </c>
      <c r="BM281" s="19">
        <v>0</v>
      </c>
      <c r="BN281" s="19">
        <v>0</v>
      </c>
      <c r="BO281" s="19">
        <f t="shared" si="829"/>
        <v>0</v>
      </c>
      <c r="BP281" s="19">
        <v>0</v>
      </c>
      <c r="BQ281" s="19">
        <v>0</v>
      </c>
      <c r="BR281" s="19">
        <v>0</v>
      </c>
      <c r="BS281" s="19">
        <v>0</v>
      </c>
      <c r="BT281" s="19">
        <v>0</v>
      </c>
      <c r="BU281" s="19">
        <v>0</v>
      </c>
      <c r="BV281" s="19">
        <v>0</v>
      </c>
      <c r="BW281" s="19">
        <v>0</v>
      </c>
      <c r="BX281" s="19">
        <v>0</v>
      </c>
      <c r="BY281" s="19">
        <v>0</v>
      </c>
      <c r="BZ281" s="19">
        <v>0</v>
      </c>
      <c r="CA281" s="19">
        <f t="shared" si="868"/>
        <v>18182846</v>
      </c>
      <c r="CB281" s="19">
        <f t="shared" si="869"/>
        <v>0</v>
      </c>
      <c r="CC281" s="19">
        <f t="shared" si="711"/>
        <v>0</v>
      </c>
      <c r="CD281" s="19">
        <v>0</v>
      </c>
      <c r="CE281" s="19">
        <v>0</v>
      </c>
      <c r="CF281" s="19">
        <f t="shared" si="832"/>
        <v>0</v>
      </c>
      <c r="CG281" s="19">
        <v>0</v>
      </c>
      <c r="CH281" s="19">
        <v>0</v>
      </c>
      <c r="CI281" s="19">
        <v>0</v>
      </c>
      <c r="CJ281" s="19">
        <v>0</v>
      </c>
      <c r="CK281" s="19">
        <v>0</v>
      </c>
      <c r="CL281" s="19">
        <f t="shared" si="855"/>
        <v>0</v>
      </c>
      <c r="CM281" s="19">
        <v>0</v>
      </c>
      <c r="CN281" s="19">
        <v>0</v>
      </c>
      <c r="CO281" s="19">
        <v>0</v>
      </c>
      <c r="CP281" s="19">
        <v>0</v>
      </c>
      <c r="CQ281" s="19">
        <v>0</v>
      </c>
      <c r="CR281" s="19"/>
      <c r="CS281" s="19"/>
      <c r="CT281" s="35">
        <f>16500000+1682846</f>
        <v>18182846</v>
      </c>
      <c r="CU281" s="35"/>
      <c r="CV281" s="35"/>
      <c r="CW281" s="35"/>
      <c r="CX281" s="19">
        <f t="shared" si="712"/>
        <v>0</v>
      </c>
      <c r="CY281" s="19">
        <f t="shared" si="713"/>
        <v>0</v>
      </c>
      <c r="CZ281" s="19">
        <v>0</v>
      </c>
      <c r="DA281" s="20">
        <v>0</v>
      </c>
    </row>
    <row r="282" spans="1:106" ht="15.75" x14ac:dyDescent="0.25">
      <c r="A282" s="71" t="s">
        <v>323</v>
      </c>
      <c r="B282" s="16" t="s">
        <v>1</v>
      </c>
      <c r="C282" s="17" t="s">
        <v>324</v>
      </c>
      <c r="D282" s="18">
        <f t="shared" ref="D282:BR284" si="883">SUM(D283)</f>
        <v>25317517</v>
      </c>
      <c r="E282" s="18">
        <f t="shared" si="883"/>
        <v>0</v>
      </c>
      <c r="F282" s="18">
        <f t="shared" si="883"/>
        <v>0</v>
      </c>
      <c r="G282" s="18">
        <f t="shared" si="883"/>
        <v>0</v>
      </c>
      <c r="H282" s="18">
        <f t="shared" si="883"/>
        <v>0</v>
      </c>
      <c r="I282" s="18">
        <f t="shared" si="883"/>
        <v>0</v>
      </c>
      <c r="J282" s="18">
        <f t="shared" si="883"/>
        <v>0</v>
      </c>
      <c r="K282" s="18">
        <f t="shared" si="883"/>
        <v>0</v>
      </c>
      <c r="L282" s="18">
        <f t="shared" si="883"/>
        <v>0</v>
      </c>
      <c r="M282" s="18">
        <f t="shared" si="883"/>
        <v>0</v>
      </c>
      <c r="N282" s="18">
        <f t="shared" si="883"/>
        <v>0</v>
      </c>
      <c r="O282" s="18">
        <f t="shared" si="883"/>
        <v>0</v>
      </c>
      <c r="P282" s="18">
        <f t="shared" si="883"/>
        <v>0</v>
      </c>
      <c r="Q282" s="18">
        <f t="shared" si="883"/>
        <v>0</v>
      </c>
      <c r="R282" s="18">
        <f t="shared" si="883"/>
        <v>0</v>
      </c>
      <c r="S282" s="18">
        <f t="shared" si="883"/>
        <v>0</v>
      </c>
      <c r="T282" s="18">
        <f t="shared" si="883"/>
        <v>0</v>
      </c>
      <c r="U282" s="18">
        <f t="shared" si="883"/>
        <v>0</v>
      </c>
      <c r="V282" s="18">
        <f t="shared" si="883"/>
        <v>0</v>
      </c>
      <c r="W282" s="18">
        <f t="shared" si="883"/>
        <v>0</v>
      </c>
      <c r="X282" s="18">
        <f t="shared" si="883"/>
        <v>0</v>
      </c>
      <c r="Y282" s="18">
        <f t="shared" si="883"/>
        <v>0</v>
      </c>
      <c r="Z282" s="18">
        <f t="shared" si="883"/>
        <v>0</v>
      </c>
      <c r="AA282" s="18">
        <f t="shared" si="883"/>
        <v>0</v>
      </c>
      <c r="AB282" s="18">
        <f t="shared" si="883"/>
        <v>0</v>
      </c>
      <c r="AC282" s="18">
        <f t="shared" si="883"/>
        <v>0</v>
      </c>
      <c r="AD282" s="18">
        <f t="shared" si="883"/>
        <v>0</v>
      </c>
      <c r="AE282" s="18">
        <f t="shared" si="883"/>
        <v>0</v>
      </c>
      <c r="AF282" s="18">
        <f t="shared" si="883"/>
        <v>0</v>
      </c>
      <c r="AG282" s="18">
        <f t="shared" si="883"/>
        <v>0</v>
      </c>
      <c r="AH282" s="18">
        <f t="shared" si="883"/>
        <v>0</v>
      </c>
      <c r="AI282" s="18">
        <f t="shared" si="883"/>
        <v>0</v>
      </c>
      <c r="AJ282" s="18">
        <f t="shared" si="883"/>
        <v>0</v>
      </c>
      <c r="AK282" s="18">
        <f t="shared" si="883"/>
        <v>0</v>
      </c>
      <c r="AL282" s="18">
        <f t="shared" si="883"/>
        <v>0</v>
      </c>
      <c r="AM282" s="18">
        <f t="shared" si="883"/>
        <v>0</v>
      </c>
      <c r="AN282" s="18">
        <f t="shared" si="883"/>
        <v>0</v>
      </c>
      <c r="AO282" s="18">
        <f t="shared" si="883"/>
        <v>0</v>
      </c>
      <c r="AP282" s="18">
        <f t="shared" si="883"/>
        <v>0</v>
      </c>
      <c r="AQ282" s="18"/>
      <c r="AR282" s="18">
        <f t="shared" si="883"/>
        <v>0</v>
      </c>
      <c r="AS282" s="18">
        <f t="shared" si="883"/>
        <v>0</v>
      </c>
      <c r="AT282" s="18">
        <f t="shared" si="883"/>
        <v>0</v>
      </c>
      <c r="AU282" s="18">
        <f t="shared" si="883"/>
        <v>0</v>
      </c>
      <c r="AV282" s="18">
        <f t="shared" si="883"/>
        <v>0</v>
      </c>
      <c r="AW282" s="18">
        <f t="shared" si="883"/>
        <v>0</v>
      </c>
      <c r="AX282" s="18">
        <f t="shared" si="883"/>
        <v>0</v>
      </c>
      <c r="AY282" s="18">
        <f t="shared" si="883"/>
        <v>0</v>
      </c>
      <c r="AZ282" s="18"/>
      <c r="BA282" s="18">
        <f t="shared" si="883"/>
        <v>0</v>
      </c>
      <c r="BB282" s="18">
        <f t="shared" si="883"/>
        <v>0</v>
      </c>
      <c r="BC282" s="18">
        <f t="shared" si="883"/>
        <v>0</v>
      </c>
      <c r="BD282" s="18">
        <f t="shared" si="883"/>
        <v>0</v>
      </c>
      <c r="BE282" s="18">
        <f t="shared" si="883"/>
        <v>0</v>
      </c>
      <c r="BF282" s="18">
        <f t="shared" si="883"/>
        <v>0</v>
      </c>
      <c r="BG282" s="18">
        <f t="shared" si="883"/>
        <v>0</v>
      </c>
      <c r="BH282" s="18">
        <f t="shared" si="883"/>
        <v>0</v>
      </c>
      <c r="BI282" s="18">
        <f t="shared" si="883"/>
        <v>0</v>
      </c>
      <c r="BJ282" s="18">
        <f t="shared" si="883"/>
        <v>0</v>
      </c>
      <c r="BK282" s="18">
        <f t="shared" si="883"/>
        <v>0</v>
      </c>
      <c r="BL282" s="18">
        <f t="shared" si="883"/>
        <v>0</v>
      </c>
      <c r="BM282" s="18">
        <f t="shared" si="883"/>
        <v>0</v>
      </c>
      <c r="BN282" s="18">
        <f t="shared" si="883"/>
        <v>0</v>
      </c>
      <c r="BO282" s="18">
        <f t="shared" si="883"/>
        <v>0</v>
      </c>
      <c r="BP282" s="18">
        <f t="shared" si="883"/>
        <v>0</v>
      </c>
      <c r="BQ282" s="18">
        <f t="shared" si="883"/>
        <v>0</v>
      </c>
      <c r="BR282" s="18">
        <f t="shared" si="883"/>
        <v>0</v>
      </c>
      <c r="BS282" s="18">
        <f t="shared" ref="BS282:DA284" si="884">SUM(BS283)</f>
        <v>0</v>
      </c>
      <c r="BT282" s="18">
        <f t="shared" si="884"/>
        <v>0</v>
      </c>
      <c r="BU282" s="18">
        <f t="shared" si="884"/>
        <v>0</v>
      </c>
      <c r="BV282" s="18">
        <f t="shared" si="884"/>
        <v>0</v>
      </c>
      <c r="BW282" s="18">
        <f t="shared" si="884"/>
        <v>0</v>
      </c>
      <c r="BX282" s="18">
        <f t="shared" si="884"/>
        <v>0</v>
      </c>
      <c r="BY282" s="18">
        <f t="shared" si="884"/>
        <v>0</v>
      </c>
      <c r="BZ282" s="18">
        <f t="shared" si="884"/>
        <v>0</v>
      </c>
      <c r="CA282" s="18">
        <f t="shared" si="884"/>
        <v>25317517</v>
      </c>
      <c r="CB282" s="18">
        <f t="shared" si="884"/>
        <v>0</v>
      </c>
      <c r="CC282" s="18">
        <f t="shared" si="884"/>
        <v>0</v>
      </c>
      <c r="CD282" s="18">
        <f t="shared" si="884"/>
        <v>0</v>
      </c>
      <c r="CE282" s="18">
        <f t="shared" si="884"/>
        <v>0</v>
      </c>
      <c r="CF282" s="18">
        <f t="shared" si="884"/>
        <v>0</v>
      </c>
      <c r="CG282" s="18">
        <f t="shared" si="884"/>
        <v>0</v>
      </c>
      <c r="CH282" s="18">
        <f t="shared" si="884"/>
        <v>0</v>
      </c>
      <c r="CI282" s="18">
        <f t="shared" si="884"/>
        <v>0</v>
      </c>
      <c r="CJ282" s="18">
        <f t="shared" si="884"/>
        <v>0</v>
      </c>
      <c r="CK282" s="18">
        <f t="shared" si="884"/>
        <v>0</v>
      </c>
      <c r="CL282" s="18">
        <f t="shared" si="884"/>
        <v>0</v>
      </c>
      <c r="CM282" s="18">
        <f t="shared" si="884"/>
        <v>0</v>
      </c>
      <c r="CN282" s="18">
        <f t="shared" si="884"/>
        <v>0</v>
      </c>
      <c r="CO282" s="18">
        <f t="shared" si="884"/>
        <v>0</v>
      </c>
      <c r="CP282" s="18"/>
      <c r="CQ282" s="18"/>
      <c r="CR282" s="18"/>
      <c r="CS282" s="18"/>
      <c r="CT282" s="38">
        <f t="shared" si="884"/>
        <v>25317517</v>
      </c>
      <c r="CU282" s="38">
        <f t="shared" si="884"/>
        <v>0</v>
      </c>
      <c r="CV282" s="38">
        <f t="shared" si="884"/>
        <v>0</v>
      </c>
      <c r="CW282" s="38">
        <f t="shared" si="884"/>
        <v>0</v>
      </c>
      <c r="CX282" s="18">
        <f t="shared" si="884"/>
        <v>0</v>
      </c>
      <c r="CY282" s="18">
        <f t="shared" si="884"/>
        <v>0</v>
      </c>
      <c r="CZ282" s="18">
        <f t="shared" si="884"/>
        <v>0</v>
      </c>
      <c r="DA282" s="46">
        <f t="shared" si="884"/>
        <v>0</v>
      </c>
      <c r="DB282" s="85"/>
    </row>
    <row r="283" spans="1:106" s="89" customFormat="1" ht="15.75" x14ac:dyDescent="0.25">
      <c r="A283" s="72" t="s">
        <v>1</v>
      </c>
      <c r="B283" s="21" t="s">
        <v>325</v>
      </c>
      <c r="C283" s="22" t="s">
        <v>324</v>
      </c>
      <c r="D283" s="38">
        <f>SUM(E283+CA283+CX283)</f>
        <v>25317517</v>
      </c>
      <c r="E283" s="19">
        <f>SUM(F283+BB283)</f>
        <v>0</v>
      </c>
      <c r="F283" s="19">
        <f>SUM(G283+H283+I283+P283+S283+T283+U283+AE283)</f>
        <v>0</v>
      </c>
      <c r="G283" s="19">
        <v>0</v>
      </c>
      <c r="H283" s="19">
        <v>0</v>
      </c>
      <c r="I283" s="19">
        <f t="shared" si="707"/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f t="shared" si="708"/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f t="shared" ref="U283" si="885">SUM(V283:AC283)</f>
        <v>0</v>
      </c>
      <c r="V283" s="19">
        <v>0</v>
      </c>
      <c r="W283" s="19">
        <v>0</v>
      </c>
      <c r="X283" s="19">
        <v>0</v>
      </c>
      <c r="Y283" s="19">
        <v>0</v>
      </c>
      <c r="Z283" s="19">
        <v>0</v>
      </c>
      <c r="AA283" s="19">
        <v>0</v>
      </c>
      <c r="AB283" s="19">
        <v>0</v>
      </c>
      <c r="AC283" s="19">
        <v>0</v>
      </c>
      <c r="AD283" s="19">
        <v>0</v>
      </c>
      <c r="AE283" s="19">
        <f>SUM(AF283:BA283)</f>
        <v>0</v>
      </c>
      <c r="AF283" s="19">
        <v>0</v>
      </c>
      <c r="AG283" s="19">
        <v>0</v>
      </c>
      <c r="AH283" s="19">
        <v>0</v>
      </c>
      <c r="AI283" s="19">
        <v>0</v>
      </c>
      <c r="AJ283" s="19">
        <v>0</v>
      </c>
      <c r="AK283" s="19">
        <v>0</v>
      </c>
      <c r="AL283" s="19">
        <v>0</v>
      </c>
      <c r="AM283" s="19">
        <v>0</v>
      </c>
      <c r="AN283" s="19">
        <v>0</v>
      </c>
      <c r="AO283" s="19">
        <v>0</v>
      </c>
      <c r="AP283" s="19">
        <v>0</v>
      </c>
      <c r="AQ283" s="19"/>
      <c r="AR283" s="19">
        <v>0</v>
      </c>
      <c r="AS283" s="19">
        <v>0</v>
      </c>
      <c r="AT283" s="19">
        <v>0</v>
      </c>
      <c r="AU283" s="19">
        <v>0</v>
      </c>
      <c r="AV283" s="19">
        <v>0</v>
      </c>
      <c r="AW283" s="19">
        <v>0</v>
      </c>
      <c r="AX283" s="19">
        <v>0</v>
      </c>
      <c r="AY283" s="19">
        <v>0</v>
      </c>
      <c r="AZ283" s="19"/>
      <c r="BA283" s="19">
        <v>0</v>
      </c>
      <c r="BB283" s="19">
        <f>SUM(BC283+BG283+BJ283+BL283+BO283)</f>
        <v>0</v>
      </c>
      <c r="BC283" s="19">
        <f>SUM(BD283:BF283)</f>
        <v>0</v>
      </c>
      <c r="BD283" s="19">
        <v>0</v>
      </c>
      <c r="BE283" s="19">
        <v>0</v>
      </c>
      <c r="BF283" s="19">
        <v>0</v>
      </c>
      <c r="BG283" s="19">
        <f>SUM(BI283:BI283)</f>
        <v>0</v>
      </c>
      <c r="BH283" s="19">
        <v>0</v>
      </c>
      <c r="BI283" s="19">
        <v>0</v>
      </c>
      <c r="BJ283" s="19">
        <v>0</v>
      </c>
      <c r="BK283" s="19">
        <v>0</v>
      </c>
      <c r="BL283" s="19">
        <f t="shared" si="710"/>
        <v>0</v>
      </c>
      <c r="BM283" s="19">
        <v>0</v>
      </c>
      <c r="BN283" s="19">
        <v>0</v>
      </c>
      <c r="BO283" s="19">
        <f>SUM(BP283:BZ283)</f>
        <v>0</v>
      </c>
      <c r="BP283" s="19">
        <v>0</v>
      </c>
      <c r="BQ283" s="19">
        <v>0</v>
      </c>
      <c r="BR283" s="19">
        <v>0</v>
      </c>
      <c r="BS283" s="19">
        <v>0</v>
      </c>
      <c r="BT283" s="19">
        <v>0</v>
      </c>
      <c r="BU283" s="19">
        <v>0</v>
      </c>
      <c r="BV283" s="19">
        <v>0</v>
      </c>
      <c r="BW283" s="19">
        <v>0</v>
      </c>
      <c r="BX283" s="19">
        <v>0</v>
      </c>
      <c r="BY283" s="19">
        <v>0</v>
      </c>
      <c r="BZ283" s="19">
        <v>0</v>
      </c>
      <c r="CA283" s="19">
        <f>SUM(CB283+CT283)</f>
        <v>25317517</v>
      </c>
      <c r="CB283" s="19">
        <f>SUM(CC283+CF283+CL283)</f>
        <v>0</v>
      </c>
      <c r="CC283" s="19">
        <f t="shared" si="711"/>
        <v>0</v>
      </c>
      <c r="CD283" s="19">
        <v>0</v>
      </c>
      <c r="CE283" s="19">
        <v>0</v>
      </c>
      <c r="CF283" s="19">
        <f>SUM(CG283:CK283)</f>
        <v>0</v>
      </c>
      <c r="CG283" s="19">
        <v>0</v>
      </c>
      <c r="CH283" s="19">
        <v>0</v>
      </c>
      <c r="CI283" s="19">
        <v>0</v>
      </c>
      <c r="CJ283" s="19">
        <v>0</v>
      </c>
      <c r="CK283" s="19">
        <v>0</v>
      </c>
      <c r="CL283" s="19">
        <f>SUM(CM283:CQ283)</f>
        <v>0</v>
      </c>
      <c r="CM283" s="19">
        <v>0</v>
      </c>
      <c r="CN283" s="19">
        <v>0</v>
      </c>
      <c r="CO283" s="19">
        <v>0</v>
      </c>
      <c r="CP283" s="19"/>
      <c r="CQ283" s="19"/>
      <c r="CR283" s="19"/>
      <c r="CS283" s="19"/>
      <c r="CT283" s="39">
        <f>12201145-238470+2553626+5895000-171224+6000000-922560</f>
        <v>25317517</v>
      </c>
      <c r="CU283" s="39"/>
      <c r="CV283" s="39"/>
      <c r="CW283" s="39"/>
      <c r="CX283" s="19">
        <f t="shared" si="712"/>
        <v>0</v>
      </c>
      <c r="CY283" s="19">
        <f t="shared" si="713"/>
        <v>0</v>
      </c>
      <c r="CZ283" s="19">
        <v>0</v>
      </c>
      <c r="DA283" s="20">
        <v>0</v>
      </c>
      <c r="DB283" s="84"/>
    </row>
    <row r="284" spans="1:106" s="84" customFormat="1" ht="15.75" customHeight="1" x14ac:dyDescent="0.25">
      <c r="A284" s="71" t="s">
        <v>326</v>
      </c>
      <c r="B284" s="16" t="s">
        <v>1</v>
      </c>
      <c r="C284" s="30" t="s">
        <v>576</v>
      </c>
      <c r="D284" s="18">
        <f t="shared" si="883"/>
        <v>6121778</v>
      </c>
      <c r="E284" s="18">
        <f t="shared" si="883"/>
        <v>6121778</v>
      </c>
      <c r="F284" s="18">
        <f t="shared" si="883"/>
        <v>0</v>
      </c>
      <c r="G284" s="18">
        <f t="shared" si="883"/>
        <v>0</v>
      </c>
      <c r="H284" s="18">
        <f t="shared" si="883"/>
        <v>0</v>
      </c>
      <c r="I284" s="18">
        <f t="shared" si="883"/>
        <v>0</v>
      </c>
      <c r="J284" s="18">
        <f t="shared" si="883"/>
        <v>0</v>
      </c>
      <c r="K284" s="18">
        <f t="shared" si="883"/>
        <v>0</v>
      </c>
      <c r="L284" s="18">
        <f t="shared" si="883"/>
        <v>0</v>
      </c>
      <c r="M284" s="18">
        <f t="shared" si="883"/>
        <v>0</v>
      </c>
      <c r="N284" s="18">
        <f t="shared" si="883"/>
        <v>0</v>
      </c>
      <c r="O284" s="18">
        <f t="shared" si="883"/>
        <v>0</v>
      </c>
      <c r="P284" s="18">
        <f t="shared" si="883"/>
        <v>0</v>
      </c>
      <c r="Q284" s="18">
        <f t="shared" si="883"/>
        <v>0</v>
      </c>
      <c r="R284" s="18">
        <f t="shared" si="883"/>
        <v>0</v>
      </c>
      <c r="S284" s="18">
        <f t="shared" si="883"/>
        <v>0</v>
      </c>
      <c r="T284" s="18">
        <f t="shared" si="883"/>
        <v>0</v>
      </c>
      <c r="U284" s="18">
        <f t="shared" si="883"/>
        <v>0</v>
      </c>
      <c r="V284" s="18">
        <f t="shared" si="883"/>
        <v>0</v>
      </c>
      <c r="W284" s="18">
        <f t="shared" si="883"/>
        <v>0</v>
      </c>
      <c r="X284" s="18">
        <f t="shared" si="883"/>
        <v>0</v>
      </c>
      <c r="Y284" s="18">
        <f t="shared" si="883"/>
        <v>0</v>
      </c>
      <c r="Z284" s="18">
        <f t="shared" si="883"/>
        <v>0</v>
      </c>
      <c r="AA284" s="18">
        <f t="shared" si="883"/>
        <v>0</v>
      </c>
      <c r="AB284" s="18">
        <f t="shared" si="883"/>
        <v>0</v>
      </c>
      <c r="AC284" s="18">
        <f t="shared" si="883"/>
        <v>0</v>
      </c>
      <c r="AD284" s="18">
        <f t="shared" si="883"/>
        <v>0</v>
      </c>
      <c r="AE284" s="18">
        <f t="shared" si="883"/>
        <v>0</v>
      </c>
      <c r="AF284" s="18">
        <f t="shared" si="883"/>
        <v>0</v>
      </c>
      <c r="AG284" s="18">
        <f t="shared" si="883"/>
        <v>0</v>
      </c>
      <c r="AH284" s="18">
        <f t="shared" si="883"/>
        <v>0</v>
      </c>
      <c r="AI284" s="18">
        <f t="shared" si="883"/>
        <v>0</v>
      </c>
      <c r="AJ284" s="18">
        <f t="shared" si="883"/>
        <v>0</v>
      </c>
      <c r="AK284" s="18">
        <f t="shared" si="883"/>
        <v>0</v>
      </c>
      <c r="AL284" s="18">
        <f t="shared" si="883"/>
        <v>0</v>
      </c>
      <c r="AM284" s="18">
        <f t="shared" si="883"/>
        <v>0</v>
      </c>
      <c r="AN284" s="18">
        <f t="shared" si="883"/>
        <v>0</v>
      </c>
      <c r="AO284" s="18">
        <f t="shared" si="883"/>
        <v>0</v>
      </c>
      <c r="AP284" s="18">
        <f t="shared" si="883"/>
        <v>0</v>
      </c>
      <c r="AQ284" s="18"/>
      <c r="AR284" s="18">
        <f t="shared" si="883"/>
        <v>0</v>
      </c>
      <c r="AS284" s="18">
        <f t="shared" si="883"/>
        <v>0</v>
      </c>
      <c r="AT284" s="18">
        <f t="shared" si="883"/>
        <v>0</v>
      </c>
      <c r="AU284" s="18">
        <f t="shared" si="883"/>
        <v>0</v>
      </c>
      <c r="AV284" s="18">
        <f t="shared" si="883"/>
        <v>0</v>
      </c>
      <c r="AW284" s="18">
        <f t="shared" si="883"/>
        <v>0</v>
      </c>
      <c r="AX284" s="18">
        <f t="shared" si="883"/>
        <v>0</v>
      </c>
      <c r="AY284" s="18">
        <f t="shared" si="883"/>
        <v>0</v>
      </c>
      <c r="AZ284" s="18"/>
      <c r="BA284" s="18">
        <f t="shared" si="883"/>
        <v>0</v>
      </c>
      <c r="BB284" s="18">
        <f t="shared" si="883"/>
        <v>6121778</v>
      </c>
      <c r="BC284" s="18">
        <f t="shared" si="883"/>
        <v>0</v>
      </c>
      <c r="BD284" s="18">
        <f t="shared" si="883"/>
        <v>0</v>
      </c>
      <c r="BE284" s="18">
        <f t="shared" si="883"/>
        <v>0</v>
      </c>
      <c r="BF284" s="18">
        <f t="shared" si="883"/>
        <v>0</v>
      </c>
      <c r="BG284" s="18">
        <f t="shared" si="883"/>
        <v>0</v>
      </c>
      <c r="BH284" s="18">
        <f t="shared" si="883"/>
        <v>0</v>
      </c>
      <c r="BI284" s="18">
        <f t="shared" si="883"/>
        <v>0</v>
      </c>
      <c r="BJ284" s="18">
        <f t="shared" si="883"/>
        <v>6121778</v>
      </c>
      <c r="BK284" s="18">
        <f t="shared" si="883"/>
        <v>0</v>
      </c>
      <c r="BL284" s="18">
        <f t="shared" si="883"/>
        <v>0</v>
      </c>
      <c r="BM284" s="18">
        <f t="shared" si="883"/>
        <v>0</v>
      </c>
      <c r="BN284" s="18">
        <f t="shared" si="883"/>
        <v>0</v>
      </c>
      <c r="BO284" s="18">
        <f t="shared" si="883"/>
        <v>0</v>
      </c>
      <c r="BP284" s="18">
        <f t="shared" si="883"/>
        <v>0</v>
      </c>
      <c r="BQ284" s="18">
        <f t="shared" si="883"/>
        <v>0</v>
      </c>
      <c r="BR284" s="18">
        <f t="shared" si="883"/>
        <v>0</v>
      </c>
      <c r="BS284" s="18">
        <f t="shared" si="884"/>
        <v>0</v>
      </c>
      <c r="BT284" s="18">
        <f t="shared" si="884"/>
        <v>0</v>
      </c>
      <c r="BU284" s="18">
        <f t="shared" si="884"/>
        <v>0</v>
      </c>
      <c r="BV284" s="18">
        <f t="shared" si="884"/>
        <v>0</v>
      </c>
      <c r="BW284" s="18">
        <f t="shared" si="884"/>
        <v>0</v>
      </c>
      <c r="BX284" s="18">
        <f t="shared" si="884"/>
        <v>0</v>
      </c>
      <c r="BY284" s="18">
        <f t="shared" si="884"/>
        <v>0</v>
      </c>
      <c r="BZ284" s="18">
        <f t="shared" si="884"/>
        <v>0</v>
      </c>
      <c r="CA284" s="18">
        <f t="shared" si="884"/>
        <v>0</v>
      </c>
      <c r="CB284" s="18">
        <f t="shared" si="884"/>
        <v>0</v>
      </c>
      <c r="CC284" s="18">
        <f t="shared" si="884"/>
        <v>0</v>
      </c>
      <c r="CD284" s="18">
        <f t="shared" si="884"/>
        <v>0</v>
      </c>
      <c r="CE284" s="18">
        <f t="shared" si="884"/>
        <v>0</v>
      </c>
      <c r="CF284" s="18">
        <f t="shared" si="884"/>
        <v>0</v>
      </c>
      <c r="CG284" s="18">
        <f t="shared" si="884"/>
        <v>0</v>
      </c>
      <c r="CH284" s="18">
        <f t="shared" si="884"/>
        <v>0</v>
      </c>
      <c r="CI284" s="18">
        <f t="shared" si="884"/>
        <v>0</v>
      </c>
      <c r="CJ284" s="18">
        <f t="shared" si="884"/>
        <v>0</v>
      </c>
      <c r="CK284" s="18">
        <f t="shared" si="884"/>
        <v>0</v>
      </c>
      <c r="CL284" s="18">
        <f t="shared" si="884"/>
        <v>0</v>
      </c>
      <c r="CM284" s="18">
        <f t="shared" si="884"/>
        <v>0</v>
      </c>
      <c r="CN284" s="18">
        <f t="shared" si="884"/>
        <v>0</v>
      </c>
      <c r="CO284" s="18">
        <f t="shared" si="884"/>
        <v>0</v>
      </c>
      <c r="CP284" s="18"/>
      <c r="CQ284" s="18"/>
      <c r="CR284" s="18"/>
      <c r="CS284" s="18"/>
      <c r="CT284" s="18">
        <f t="shared" si="884"/>
        <v>0</v>
      </c>
      <c r="CU284" s="18"/>
      <c r="CV284" s="18"/>
      <c r="CW284" s="18"/>
      <c r="CX284" s="18">
        <f t="shared" si="884"/>
        <v>0</v>
      </c>
      <c r="CY284" s="18">
        <f t="shared" si="884"/>
        <v>0</v>
      </c>
      <c r="CZ284" s="18">
        <f t="shared" si="884"/>
        <v>0</v>
      </c>
      <c r="DA284" s="46">
        <f t="shared" si="884"/>
        <v>0</v>
      </c>
      <c r="DB284" s="85"/>
    </row>
    <row r="285" spans="1:106" s="84" customFormat="1" ht="15.75" x14ac:dyDescent="0.25">
      <c r="A285" s="72" t="s">
        <v>1</v>
      </c>
      <c r="B285" s="21" t="s">
        <v>103</v>
      </c>
      <c r="C285" s="31" t="s">
        <v>576</v>
      </c>
      <c r="D285" s="18">
        <f>SUM(E285+CA285+CX285)</f>
        <v>6121778</v>
      </c>
      <c r="E285" s="19">
        <f>SUM(F285+BB285)</f>
        <v>6121778</v>
      </c>
      <c r="F285" s="19">
        <f>SUM(G285+H285+I285+P285+S285+T285+U285+AE285)</f>
        <v>0</v>
      </c>
      <c r="G285" s="19">
        <v>0</v>
      </c>
      <c r="H285" s="19">
        <v>0</v>
      </c>
      <c r="I285" s="19">
        <f t="shared" ref="I285" si="886">SUM(J285:O285)</f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f t="shared" ref="P285" si="887">SUM(Q285:R285)</f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f t="shared" ref="U285" si="888">SUM(V285:AC285)</f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v>0</v>
      </c>
      <c r="AE285" s="19">
        <f>SUM(AF285:BA285)</f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0</v>
      </c>
      <c r="AL285" s="19">
        <v>0</v>
      </c>
      <c r="AM285" s="19">
        <v>0</v>
      </c>
      <c r="AN285" s="19">
        <v>0</v>
      </c>
      <c r="AO285" s="19">
        <v>0</v>
      </c>
      <c r="AP285" s="19">
        <v>0</v>
      </c>
      <c r="AQ285" s="19"/>
      <c r="AR285" s="19">
        <v>0</v>
      </c>
      <c r="AS285" s="19">
        <v>0</v>
      </c>
      <c r="AT285" s="19">
        <v>0</v>
      </c>
      <c r="AU285" s="19">
        <v>0</v>
      </c>
      <c r="AV285" s="19">
        <v>0</v>
      </c>
      <c r="AW285" s="19">
        <v>0</v>
      </c>
      <c r="AX285" s="19">
        <v>0</v>
      </c>
      <c r="AY285" s="19">
        <v>0</v>
      </c>
      <c r="AZ285" s="19"/>
      <c r="BA285" s="19">
        <v>0</v>
      </c>
      <c r="BB285" s="19">
        <f>SUM(BC285+BG285+BJ285+BL285+BO285)</f>
        <v>6121778</v>
      </c>
      <c r="BC285" s="19">
        <f>SUM(BD285:BF285)</f>
        <v>0</v>
      </c>
      <c r="BD285" s="19">
        <v>0</v>
      </c>
      <c r="BE285" s="19">
        <v>0</v>
      </c>
      <c r="BF285" s="19">
        <v>0</v>
      </c>
      <c r="BG285" s="19">
        <f>SUM(BI285:BI285)</f>
        <v>0</v>
      </c>
      <c r="BH285" s="19">
        <v>0</v>
      </c>
      <c r="BI285" s="19">
        <v>0</v>
      </c>
      <c r="BJ285" s="23">
        <f>8681532-2559754</f>
        <v>6121778</v>
      </c>
      <c r="BK285" s="19">
        <v>0</v>
      </c>
      <c r="BL285" s="19">
        <f t="shared" ref="BL285" si="889">SUM(BM285)</f>
        <v>0</v>
      </c>
      <c r="BM285" s="19">
        <v>0</v>
      </c>
      <c r="BN285" s="19">
        <v>0</v>
      </c>
      <c r="BO285" s="19">
        <f>SUM(BP285:BZ285)</f>
        <v>0</v>
      </c>
      <c r="BP285" s="19">
        <v>0</v>
      </c>
      <c r="BQ285" s="19">
        <v>0</v>
      </c>
      <c r="BR285" s="19">
        <v>0</v>
      </c>
      <c r="BS285" s="19">
        <v>0</v>
      </c>
      <c r="BT285" s="19">
        <v>0</v>
      </c>
      <c r="BU285" s="19">
        <v>0</v>
      </c>
      <c r="BV285" s="19">
        <v>0</v>
      </c>
      <c r="BW285" s="19">
        <v>0</v>
      </c>
      <c r="BX285" s="19">
        <v>0</v>
      </c>
      <c r="BY285" s="19">
        <v>0</v>
      </c>
      <c r="BZ285" s="19">
        <v>0</v>
      </c>
      <c r="CA285" s="19">
        <f>SUM(CB285+CT285)</f>
        <v>0</v>
      </c>
      <c r="CB285" s="19">
        <f>SUM(CC285+CF285+CL285)</f>
        <v>0</v>
      </c>
      <c r="CC285" s="19">
        <f t="shared" ref="CC285" si="890">SUM(CD285:CE285)</f>
        <v>0</v>
      </c>
      <c r="CD285" s="19">
        <v>0</v>
      </c>
      <c r="CE285" s="19">
        <v>0</v>
      </c>
      <c r="CF285" s="19">
        <f>SUM(CG285:CK285)</f>
        <v>0</v>
      </c>
      <c r="CG285" s="19">
        <v>0</v>
      </c>
      <c r="CH285" s="19">
        <v>0</v>
      </c>
      <c r="CI285" s="19">
        <v>0</v>
      </c>
      <c r="CJ285" s="19">
        <v>0</v>
      </c>
      <c r="CK285" s="19">
        <v>0</v>
      </c>
      <c r="CL285" s="19">
        <f>SUM(CM285:CQ285)</f>
        <v>0</v>
      </c>
      <c r="CM285" s="19">
        <v>0</v>
      </c>
      <c r="CN285" s="19">
        <v>0</v>
      </c>
      <c r="CO285" s="19">
        <v>0</v>
      </c>
      <c r="CP285" s="19"/>
      <c r="CQ285" s="19"/>
      <c r="CR285" s="19"/>
      <c r="CS285" s="19"/>
      <c r="CT285" s="19"/>
      <c r="CU285" s="19"/>
      <c r="CV285" s="19"/>
      <c r="CW285" s="19"/>
      <c r="CX285" s="19">
        <f t="shared" ref="CX285" si="891">SUM(CY285)</f>
        <v>0</v>
      </c>
      <c r="CY285" s="19">
        <f t="shared" ref="CY285" si="892">SUM(CZ285:DA285)</f>
        <v>0</v>
      </c>
      <c r="CZ285" s="19">
        <v>0</v>
      </c>
      <c r="DA285" s="20">
        <v>0</v>
      </c>
    </row>
    <row r="286" spans="1:106" s="85" customFormat="1" ht="31.5" x14ac:dyDescent="0.25">
      <c r="A286" s="73" t="s">
        <v>327</v>
      </c>
      <c r="B286" s="25" t="s">
        <v>1</v>
      </c>
      <c r="C286" s="26" t="s">
        <v>328</v>
      </c>
      <c r="D286" s="27">
        <f>SUM(D287)</f>
        <v>110624154</v>
      </c>
      <c r="E286" s="28">
        <f t="shared" ref="E286:BU287" si="893">SUM(E287)</f>
        <v>0</v>
      </c>
      <c r="F286" s="28">
        <f t="shared" si="893"/>
        <v>0</v>
      </c>
      <c r="G286" s="28">
        <f t="shared" si="893"/>
        <v>0</v>
      </c>
      <c r="H286" s="28">
        <f t="shared" si="893"/>
        <v>0</v>
      </c>
      <c r="I286" s="28">
        <f t="shared" si="893"/>
        <v>0</v>
      </c>
      <c r="J286" s="28">
        <f t="shared" si="893"/>
        <v>0</v>
      </c>
      <c r="K286" s="28">
        <f t="shared" si="893"/>
        <v>0</v>
      </c>
      <c r="L286" s="28">
        <f t="shared" si="893"/>
        <v>0</v>
      </c>
      <c r="M286" s="28">
        <f t="shared" si="893"/>
        <v>0</v>
      </c>
      <c r="N286" s="28">
        <f t="shared" si="893"/>
        <v>0</v>
      </c>
      <c r="O286" s="28">
        <f t="shared" si="893"/>
        <v>0</v>
      </c>
      <c r="P286" s="28">
        <f t="shared" si="893"/>
        <v>0</v>
      </c>
      <c r="Q286" s="28">
        <f t="shared" si="893"/>
        <v>0</v>
      </c>
      <c r="R286" s="28">
        <f t="shared" si="893"/>
        <v>0</v>
      </c>
      <c r="S286" s="28">
        <f t="shared" si="893"/>
        <v>0</v>
      </c>
      <c r="T286" s="28">
        <f t="shared" si="893"/>
        <v>0</v>
      </c>
      <c r="U286" s="28">
        <f t="shared" si="893"/>
        <v>0</v>
      </c>
      <c r="V286" s="28">
        <f t="shared" si="893"/>
        <v>0</v>
      </c>
      <c r="W286" s="28">
        <f t="shared" si="893"/>
        <v>0</v>
      </c>
      <c r="X286" s="28">
        <f t="shared" si="893"/>
        <v>0</v>
      </c>
      <c r="Y286" s="28">
        <f t="shared" si="893"/>
        <v>0</v>
      </c>
      <c r="Z286" s="28">
        <f t="shared" si="893"/>
        <v>0</v>
      </c>
      <c r="AA286" s="28">
        <f t="shared" si="893"/>
        <v>0</v>
      </c>
      <c r="AB286" s="28">
        <f t="shared" si="893"/>
        <v>0</v>
      </c>
      <c r="AC286" s="28">
        <f t="shared" si="893"/>
        <v>0</v>
      </c>
      <c r="AD286" s="28">
        <f t="shared" si="893"/>
        <v>0</v>
      </c>
      <c r="AE286" s="28">
        <f t="shared" si="893"/>
        <v>0</v>
      </c>
      <c r="AF286" s="28">
        <f t="shared" si="893"/>
        <v>0</v>
      </c>
      <c r="AG286" s="28">
        <f t="shared" si="893"/>
        <v>0</v>
      </c>
      <c r="AH286" s="28">
        <f t="shared" si="893"/>
        <v>0</v>
      </c>
      <c r="AI286" s="28">
        <f t="shared" si="893"/>
        <v>0</v>
      </c>
      <c r="AJ286" s="28">
        <f t="shared" si="893"/>
        <v>0</v>
      </c>
      <c r="AK286" s="28">
        <f t="shared" si="893"/>
        <v>0</v>
      </c>
      <c r="AL286" s="28">
        <f t="shared" si="893"/>
        <v>0</v>
      </c>
      <c r="AM286" s="28">
        <f t="shared" si="893"/>
        <v>0</v>
      </c>
      <c r="AN286" s="28">
        <f t="shared" si="893"/>
        <v>0</v>
      </c>
      <c r="AO286" s="28">
        <f t="shared" si="893"/>
        <v>0</v>
      </c>
      <c r="AP286" s="28">
        <f t="shared" si="893"/>
        <v>0</v>
      </c>
      <c r="AQ286" s="28"/>
      <c r="AR286" s="28">
        <f t="shared" si="893"/>
        <v>0</v>
      </c>
      <c r="AS286" s="28">
        <f t="shared" si="893"/>
        <v>0</v>
      </c>
      <c r="AT286" s="28">
        <f t="shared" si="893"/>
        <v>0</v>
      </c>
      <c r="AU286" s="28">
        <f t="shared" si="893"/>
        <v>0</v>
      </c>
      <c r="AV286" s="28">
        <f t="shared" si="893"/>
        <v>0</v>
      </c>
      <c r="AW286" s="28">
        <f t="shared" si="893"/>
        <v>0</v>
      </c>
      <c r="AX286" s="28">
        <f t="shared" si="893"/>
        <v>0</v>
      </c>
      <c r="AY286" s="28">
        <f t="shared" si="893"/>
        <v>0</v>
      </c>
      <c r="AZ286" s="28"/>
      <c r="BA286" s="28">
        <f t="shared" si="893"/>
        <v>0</v>
      </c>
      <c r="BB286" s="28">
        <f t="shared" si="893"/>
        <v>0</v>
      </c>
      <c r="BC286" s="28">
        <f t="shared" si="893"/>
        <v>0</v>
      </c>
      <c r="BD286" s="28">
        <f t="shared" si="893"/>
        <v>0</v>
      </c>
      <c r="BE286" s="28">
        <f t="shared" si="893"/>
        <v>0</v>
      </c>
      <c r="BF286" s="28">
        <f t="shared" si="893"/>
        <v>0</v>
      </c>
      <c r="BG286" s="28">
        <f t="shared" si="893"/>
        <v>0</v>
      </c>
      <c r="BH286" s="28">
        <f t="shared" si="893"/>
        <v>0</v>
      </c>
      <c r="BI286" s="28">
        <f t="shared" si="893"/>
        <v>0</v>
      </c>
      <c r="BJ286" s="28">
        <f t="shared" si="893"/>
        <v>0</v>
      </c>
      <c r="BK286" s="28">
        <f t="shared" si="893"/>
        <v>0</v>
      </c>
      <c r="BL286" s="28">
        <f t="shared" si="893"/>
        <v>0</v>
      </c>
      <c r="BM286" s="28">
        <f t="shared" si="893"/>
        <v>0</v>
      </c>
      <c r="BN286" s="28">
        <f t="shared" si="893"/>
        <v>0</v>
      </c>
      <c r="BO286" s="28">
        <f t="shared" si="893"/>
        <v>0</v>
      </c>
      <c r="BP286" s="28">
        <f t="shared" si="893"/>
        <v>0</v>
      </c>
      <c r="BQ286" s="28">
        <f t="shared" si="893"/>
        <v>0</v>
      </c>
      <c r="BR286" s="28">
        <f t="shared" si="893"/>
        <v>0</v>
      </c>
      <c r="BS286" s="28">
        <f t="shared" si="893"/>
        <v>0</v>
      </c>
      <c r="BT286" s="28">
        <f t="shared" si="893"/>
        <v>0</v>
      </c>
      <c r="BU286" s="28">
        <f t="shared" si="893"/>
        <v>0</v>
      </c>
      <c r="BV286" s="28">
        <f t="shared" ref="BV286:DA287" si="894">SUM(BV287)</f>
        <v>0</v>
      </c>
      <c r="BW286" s="28">
        <f t="shared" si="894"/>
        <v>0</v>
      </c>
      <c r="BX286" s="28">
        <f t="shared" si="894"/>
        <v>0</v>
      </c>
      <c r="BY286" s="28">
        <f t="shared" si="894"/>
        <v>0</v>
      </c>
      <c r="BZ286" s="28">
        <f t="shared" si="894"/>
        <v>0</v>
      </c>
      <c r="CA286" s="28">
        <f t="shared" si="894"/>
        <v>0</v>
      </c>
      <c r="CB286" s="28">
        <f t="shared" si="894"/>
        <v>0</v>
      </c>
      <c r="CC286" s="28">
        <f t="shared" si="894"/>
        <v>0</v>
      </c>
      <c r="CD286" s="28">
        <f t="shared" si="894"/>
        <v>0</v>
      </c>
      <c r="CE286" s="28">
        <f t="shared" si="894"/>
        <v>0</v>
      </c>
      <c r="CF286" s="28">
        <f t="shared" si="894"/>
        <v>0</v>
      </c>
      <c r="CG286" s="28">
        <f t="shared" si="894"/>
        <v>0</v>
      </c>
      <c r="CH286" s="28">
        <f t="shared" si="894"/>
        <v>0</v>
      </c>
      <c r="CI286" s="28">
        <f t="shared" si="894"/>
        <v>0</v>
      </c>
      <c r="CJ286" s="28">
        <f t="shared" si="894"/>
        <v>0</v>
      </c>
      <c r="CK286" s="28">
        <f t="shared" si="894"/>
        <v>0</v>
      </c>
      <c r="CL286" s="28">
        <f t="shared" si="894"/>
        <v>0</v>
      </c>
      <c r="CM286" s="28">
        <f t="shared" si="894"/>
        <v>0</v>
      </c>
      <c r="CN286" s="28">
        <f t="shared" si="894"/>
        <v>0</v>
      </c>
      <c r="CO286" s="28">
        <f t="shared" si="894"/>
        <v>0</v>
      </c>
      <c r="CP286" s="28"/>
      <c r="CQ286" s="28"/>
      <c r="CR286" s="28"/>
      <c r="CS286" s="28"/>
      <c r="CT286" s="28">
        <f t="shared" si="894"/>
        <v>0</v>
      </c>
      <c r="CU286" s="28"/>
      <c r="CV286" s="28"/>
      <c r="CW286" s="28"/>
      <c r="CX286" s="28">
        <f t="shared" si="894"/>
        <v>110624154</v>
      </c>
      <c r="CY286" s="28">
        <f t="shared" si="894"/>
        <v>110624154</v>
      </c>
      <c r="CZ286" s="28">
        <f t="shared" si="894"/>
        <v>0</v>
      </c>
      <c r="DA286" s="29">
        <f t="shared" si="894"/>
        <v>110624154</v>
      </c>
      <c r="DB286" s="84"/>
    </row>
    <row r="287" spans="1:106" s="84" customFormat="1" ht="15.75" x14ac:dyDescent="0.25">
      <c r="A287" s="71" t="s">
        <v>329</v>
      </c>
      <c r="B287" s="16" t="s">
        <v>1</v>
      </c>
      <c r="C287" s="17" t="s">
        <v>330</v>
      </c>
      <c r="D287" s="18">
        <f>SUM(D288)</f>
        <v>110624154</v>
      </c>
      <c r="E287" s="18">
        <f t="shared" si="893"/>
        <v>0</v>
      </c>
      <c r="F287" s="18">
        <f t="shared" si="893"/>
        <v>0</v>
      </c>
      <c r="G287" s="18">
        <f t="shared" si="893"/>
        <v>0</v>
      </c>
      <c r="H287" s="18">
        <f t="shared" si="893"/>
        <v>0</v>
      </c>
      <c r="I287" s="18">
        <f t="shared" si="893"/>
        <v>0</v>
      </c>
      <c r="J287" s="18">
        <f t="shared" si="893"/>
        <v>0</v>
      </c>
      <c r="K287" s="18">
        <f t="shared" si="893"/>
        <v>0</v>
      </c>
      <c r="L287" s="18">
        <f t="shared" si="893"/>
        <v>0</v>
      </c>
      <c r="M287" s="18">
        <f t="shared" si="893"/>
        <v>0</v>
      </c>
      <c r="N287" s="18">
        <f t="shared" si="893"/>
        <v>0</v>
      </c>
      <c r="O287" s="18">
        <f t="shared" si="893"/>
        <v>0</v>
      </c>
      <c r="P287" s="18">
        <f t="shared" si="893"/>
        <v>0</v>
      </c>
      <c r="Q287" s="18">
        <f t="shared" si="893"/>
        <v>0</v>
      </c>
      <c r="R287" s="18">
        <f t="shared" si="893"/>
        <v>0</v>
      </c>
      <c r="S287" s="18">
        <f t="shared" si="893"/>
        <v>0</v>
      </c>
      <c r="T287" s="18">
        <f t="shared" si="893"/>
        <v>0</v>
      </c>
      <c r="U287" s="18">
        <f t="shared" si="893"/>
        <v>0</v>
      </c>
      <c r="V287" s="18">
        <f t="shared" si="893"/>
        <v>0</v>
      </c>
      <c r="W287" s="18">
        <f t="shared" si="893"/>
        <v>0</v>
      </c>
      <c r="X287" s="18">
        <f t="shared" si="893"/>
        <v>0</v>
      </c>
      <c r="Y287" s="18">
        <f t="shared" si="893"/>
        <v>0</v>
      </c>
      <c r="Z287" s="18">
        <f t="shared" si="893"/>
        <v>0</v>
      </c>
      <c r="AA287" s="18">
        <f t="shared" si="893"/>
        <v>0</v>
      </c>
      <c r="AB287" s="18">
        <f t="shared" si="893"/>
        <v>0</v>
      </c>
      <c r="AC287" s="18">
        <f t="shared" si="893"/>
        <v>0</v>
      </c>
      <c r="AD287" s="18">
        <f t="shared" si="893"/>
        <v>0</v>
      </c>
      <c r="AE287" s="18">
        <f t="shared" si="893"/>
        <v>0</v>
      </c>
      <c r="AF287" s="18">
        <f t="shared" si="893"/>
        <v>0</v>
      </c>
      <c r="AG287" s="18">
        <f t="shared" si="893"/>
        <v>0</v>
      </c>
      <c r="AH287" s="18">
        <f t="shared" si="893"/>
        <v>0</v>
      </c>
      <c r="AI287" s="18">
        <f t="shared" si="893"/>
        <v>0</v>
      </c>
      <c r="AJ287" s="18">
        <f t="shared" si="893"/>
        <v>0</v>
      </c>
      <c r="AK287" s="18">
        <f t="shared" si="893"/>
        <v>0</v>
      </c>
      <c r="AL287" s="18">
        <f t="shared" si="893"/>
        <v>0</v>
      </c>
      <c r="AM287" s="18">
        <f t="shared" si="893"/>
        <v>0</v>
      </c>
      <c r="AN287" s="18">
        <f t="shared" si="893"/>
        <v>0</v>
      </c>
      <c r="AO287" s="18">
        <f t="shared" si="893"/>
        <v>0</v>
      </c>
      <c r="AP287" s="18">
        <f t="shared" si="893"/>
        <v>0</v>
      </c>
      <c r="AQ287" s="18"/>
      <c r="AR287" s="18">
        <f t="shared" si="893"/>
        <v>0</v>
      </c>
      <c r="AS287" s="18">
        <f t="shared" si="893"/>
        <v>0</v>
      </c>
      <c r="AT287" s="18">
        <f t="shared" si="893"/>
        <v>0</v>
      </c>
      <c r="AU287" s="18">
        <f t="shared" si="893"/>
        <v>0</v>
      </c>
      <c r="AV287" s="18">
        <f t="shared" si="893"/>
        <v>0</v>
      </c>
      <c r="AW287" s="18">
        <f t="shared" si="893"/>
        <v>0</v>
      </c>
      <c r="AX287" s="18">
        <f t="shared" si="893"/>
        <v>0</v>
      </c>
      <c r="AY287" s="18">
        <f t="shared" si="893"/>
        <v>0</v>
      </c>
      <c r="AZ287" s="18"/>
      <c r="BA287" s="18">
        <f t="shared" si="893"/>
        <v>0</v>
      </c>
      <c r="BB287" s="18">
        <f t="shared" si="893"/>
        <v>0</v>
      </c>
      <c r="BC287" s="18">
        <f t="shared" si="893"/>
        <v>0</v>
      </c>
      <c r="BD287" s="18">
        <f t="shared" si="893"/>
        <v>0</v>
      </c>
      <c r="BE287" s="18">
        <f t="shared" si="893"/>
        <v>0</v>
      </c>
      <c r="BF287" s="18">
        <f t="shared" si="893"/>
        <v>0</v>
      </c>
      <c r="BG287" s="18">
        <f t="shared" si="893"/>
        <v>0</v>
      </c>
      <c r="BH287" s="18">
        <f t="shared" si="893"/>
        <v>0</v>
      </c>
      <c r="BI287" s="18">
        <f t="shared" si="893"/>
        <v>0</v>
      </c>
      <c r="BJ287" s="18">
        <f t="shared" si="893"/>
        <v>0</v>
      </c>
      <c r="BK287" s="18">
        <f t="shared" si="893"/>
        <v>0</v>
      </c>
      <c r="BL287" s="18">
        <f t="shared" si="893"/>
        <v>0</v>
      </c>
      <c r="BM287" s="18">
        <f t="shared" si="893"/>
        <v>0</v>
      </c>
      <c r="BN287" s="18">
        <f t="shared" si="893"/>
        <v>0</v>
      </c>
      <c r="BO287" s="18">
        <f t="shared" si="893"/>
        <v>0</v>
      </c>
      <c r="BP287" s="18">
        <f t="shared" si="893"/>
        <v>0</v>
      </c>
      <c r="BQ287" s="18">
        <f t="shared" si="893"/>
        <v>0</v>
      </c>
      <c r="BR287" s="18">
        <f t="shared" si="893"/>
        <v>0</v>
      </c>
      <c r="BS287" s="18">
        <f t="shared" si="893"/>
        <v>0</v>
      </c>
      <c r="BT287" s="18">
        <f t="shared" si="893"/>
        <v>0</v>
      </c>
      <c r="BU287" s="18">
        <f t="shared" si="893"/>
        <v>0</v>
      </c>
      <c r="BV287" s="18">
        <f t="shared" si="894"/>
        <v>0</v>
      </c>
      <c r="BW287" s="18">
        <f t="shared" si="894"/>
        <v>0</v>
      </c>
      <c r="BX287" s="18">
        <f t="shared" si="894"/>
        <v>0</v>
      </c>
      <c r="BY287" s="18">
        <f t="shared" si="894"/>
        <v>0</v>
      </c>
      <c r="BZ287" s="18">
        <f t="shared" si="894"/>
        <v>0</v>
      </c>
      <c r="CA287" s="18">
        <f t="shared" si="894"/>
        <v>0</v>
      </c>
      <c r="CB287" s="18">
        <f t="shared" si="894"/>
        <v>0</v>
      </c>
      <c r="CC287" s="18">
        <f t="shared" si="894"/>
        <v>0</v>
      </c>
      <c r="CD287" s="18">
        <f t="shared" si="894"/>
        <v>0</v>
      </c>
      <c r="CE287" s="18">
        <f t="shared" si="894"/>
        <v>0</v>
      </c>
      <c r="CF287" s="18">
        <f t="shared" si="894"/>
        <v>0</v>
      </c>
      <c r="CG287" s="18">
        <f t="shared" si="894"/>
        <v>0</v>
      </c>
      <c r="CH287" s="18">
        <f t="shared" si="894"/>
        <v>0</v>
      </c>
      <c r="CI287" s="18">
        <f t="shared" si="894"/>
        <v>0</v>
      </c>
      <c r="CJ287" s="18">
        <f t="shared" si="894"/>
        <v>0</v>
      </c>
      <c r="CK287" s="18">
        <f t="shared" si="894"/>
        <v>0</v>
      </c>
      <c r="CL287" s="18">
        <f t="shared" si="894"/>
        <v>0</v>
      </c>
      <c r="CM287" s="18">
        <f t="shared" si="894"/>
        <v>0</v>
      </c>
      <c r="CN287" s="18">
        <f t="shared" si="894"/>
        <v>0</v>
      </c>
      <c r="CO287" s="18">
        <f t="shared" si="894"/>
        <v>0</v>
      </c>
      <c r="CP287" s="18"/>
      <c r="CQ287" s="18"/>
      <c r="CR287" s="18"/>
      <c r="CS287" s="18"/>
      <c r="CT287" s="18">
        <f t="shared" si="894"/>
        <v>0</v>
      </c>
      <c r="CU287" s="18"/>
      <c r="CV287" s="18"/>
      <c r="CW287" s="18"/>
      <c r="CX287" s="18">
        <f t="shared" si="894"/>
        <v>110624154</v>
      </c>
      <c r="CY287" s="18">
        <f t="shared" si="894"/>
        <v>110624154</v>
      </c>
      <c r="CZ287" s="18">
        <f t="shared" si="894"/>
        <v>0</v>
      </c>
      <c r="DA287" s="46">
        <f t="shared" si="894"/>
        <v>110624154</v>
      </c>
      <c r="DB287" s="85"/>
    </row>
    <row r="288" spans="1:106" s="85" customFormat="1" ht="15.75" x14ac:dyDescent="0.25">
      <c r="A288" s="72" t="s">
        <v>1</v>
      </c>
      <c r="B288" s="21" t="s">
        <v>103</v>
      </c>
      <c r="C288" s="22" t="s">
        <v>330</v>
      </c>
      <c r="D288" s="18">
        <f>SUM(E288+CA288+CX288)</f>
        <v>110624154</v>
      </c>
      <c r="E288" s="19">
        <f>SUM(F288+BB288)</f>
        <v>0</v>
      </c>
      <c r="F288" s="19">
        <f>SUM(G288+H288+I288+P288+S288+T288+U288+AE288)</f>
        <v>0</v>
      </c>
      <c r="G288" s="19">
        <v>0</v>
      </c>
      <c r="H288" s="19">
        <v>0</v>
      </c>
      <c r="I288" s="19">
        <f t="shared" si="707"/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f t="shared" si="708"/>
        <v>0</v>
      </c>
      <c r="Q288" s="19">
        <v>0</v>
      </c>
      <c r="R288" s="19">
        <v>0</v>
      </c>
      <c r="S288" s="19">
        <v>0</v>
      </c>
      <c r="T288" s="19">
        <v>0</v>
      </c>
      <c r="U288" s="19">
        <f t="shared" ref="U288" si="895">SUM(V288:AC288)</f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19">
        <v>0</v>
      </c>
      <c r="AE288" s="19">
        <f>SUM(AF288:BA288)</f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/>
      <c r="AR288" s="19">
        <v>0</v>
      </c>
      <c r="AS288" s="19">
        <v>0</v>
      </c>
      <c r="AT288" s="19">
        <v>0</v>
      </c>
      <c r="AU288" s="19">
        <v>0</v>
      </c>
      <c r="AV288" s="19">
        <v>0</v>
      </c>
      <c r="AW288" s="19">
        <v>0</v>
      </c>
      <c r="AX288" s="19">
        <v>0</v>
      </c>
      <c r="AY288" s="19">
        <v>0</v>
      </c>
      <c r="AZ288" s="19"/>
      <c r="BA288" s="19">
        <v>0</v>
      </c>
      <c r="BB288" s="19">
        <f>SUM(BC288+BG288+BJ288+BL288+BO288)</f>
        <v>0</v>
      </c>
      <c r="BC288" s="19">
        <f>SUM(BD288:BF288)</f>
        <v>0</v>
      </c>
      <c r="BD288" s="19">
        <v>0</v>
      </c>
      <c r="BE288" s="19">
        <v>0</v>
      </c>
      <c r="BF288" s="19">
        <v>0</v>
      </c>
      <c r="BG288" s="19">
        <f>SUM(BI288:BI288)</f>
        <v>0</v>
      </c>
      <c r="BH288" s="19">
        <v>0</v>
      </c>
      <c r="BI288" s="19">
        <v>0</v>
      </c>
      <c r="BJ288" s="19">
        <v>0</v>
      </c>
      <c r="BK288" s="19">
        <v>0</v>
      </c>
      <c r="BL288" s="19">
        <f t="shared" si="710"/>
        <v>0</v>
      </c>
      <c r="BM288" s="19">
        <v>0</v>
      </c>
      <c r="BN288" s="19">
        <v>0</v>
      </c>
      <c r="BO288" s="19">
        <f>SUM(BP288:BZ288)</f>
        <v>0</v>
      </c>
      <c r="BP288" s="19">
        <v>0</v>
      </c>
      <c r="BQ288" s="19">
        <v>0</v>
      </c>
      <c r="BR288" s="19">
        <v>0</v>
      </c>
      <c r="BS288" s="19">
        <v>0</v>
      </c>
      <c r="BT288" s="19">
        <v>0</v>
      </c>
      <c r="BU288" s="19">
        <v>0</v>
      </c>
      <c r="BV288" s="19">
        <v>0</v>
      </c>
      <c r="BW288" s="19">
        <v>0</v>
      </c>
      <c r="BX288" s="19">
        <v>0</v>
      </c>
      <c r="BY288" s="19">
        <v>0</v>
      </c>
      <c r="BZ288" s="19">
        <v>0</v>
      </c>
      <c r="CA288" s="19">
        <f>SUM(CB288+CT288)</f>
        <v>0</v>
      </c>
      <c r="CB288" s="19">
        <f>SUM(CC288+CF288+CL288)</f>
        <v>0</v>
      </c>
      <c r="CC288" s="19">
        <f t="shared" si="711"/>
        <v>0</v>
      </c>
      <c r="CD288" s="19">
        <v>0</v>
      </c>
      <c r="CE288" s="19">
        <v>0</v>
      </c>
      <c r="CF288" s="19">
        <f>SUM(CG288:CK288)</f>
        <v>0</v>
      </c>
      <c r="CG288" s="19">
        <v>0</v>
      </c>
      <c r="CH288" s="19">
        <v>0</v>
      </c>
      <c r="CI288" s="19">
        <v>0</v>
      </c>
      <c r="CJ288" s="19">
        <v>0</v>
      </c>
      <c r="CK288" s="19">
        <v>0</v>
      </c>
      <c r="CL288" s="19">
        <f>SUM(CM288:CQ288)</f>
        <v>0</v>
      </c>
      <c r="CM288" s="19">
        <v>0</v>
      </c>
      <c r="CN288" s="19">
        <v>0</v>
      </c>
      <c r="CO288" s="19">
        <v>0</v>
      </c>
      <c r="CP288" s="19"/>
      <c r="CQ288" s="19"/>
      <c r="CR288" s="19"/>
      <c r="CS288" s="19"/>
      <c r="CT288" s="19">
        <v>0</v>
      </c>
      <c r="CU288" s="19"/>
      <c r="CV288" s="19"/>
      <c r="CW288" s="19"/>
      <c r="CX288" s="19">
        <f t="shared" si="712"/>
        <v>110624154</v>
      </c>
      <c r="CY288" s="19">
        <f t="shared" si="713"/>
        <v>110624154</v>
      </c>
      <c r="CZ288" s="19">
        <v>0</v>
      </c>
      <c r="DA288" s="20">
        <f>88476917+10000000+12147237</f>
        <v>110624154</v>
      </c>
      <c r="DB288" s="84"/>
    </row>
    <row r="289" spans="1:106" s="84" customFormat="1" ht="15.75" x14ac:dyDescent="0.25">
      <c r="A289" s="73" t="s">
        <v>331</v>
      </c>
      <c r="B289" s="25" t="s">
        <v>1</v>
      </c>
      <c r="C289" s="26" t="s">
        <v>332</v>
      </c>
      <c r="D289" s="27">
        <f t="shared" ref="D289:AP289" si="896">SUM(D303+D314+D305+D308+D310+D312+D316+D290)</f>
        <v>782586952</v>
      </c>
      <c r="E289" s="28">
        <f t="shared" si="896"/>
        <v>466267760</v>
      </c>
      <c r="F289" s="28">
        <f t="shared" si="896"/>
        <v>66837107</v>
      </c>
      <c r="G289" s="28">
        <f t="shared" si="896"/>
        <v>0</v>
      </c>
      <c r="H289" s="28">
        <f t="shared" si="896"/>
        <v>0</v>
      </c>
      <c r="I289" s="28">
        <f t="shared" si="896"/>
        <v>500000</v>
      </c>
      <c r="J289" s="28">
        <f t="shared" si="896"/>
        <v>0</v>
      </c>
      <c r="K289" s="28">
        <f t="shared" si="896"/>
        <v>0</v>
      </c>
      <c r="L289" s="28">
        <f t="shared" si="896"/>
        <v>0</v>
      </c>
      <c r="M289" s="28">
        <f t="shared" si="896"/>
        <v>0</v>
      </c>
      <c r="N289" s="28">
        <f t="shared" si="896"/>
        <v>0</v>
      </c>
      <c r="O289" s="28">
        <f t="shared" si="896"/>
        <v>500000</v>
      </c>
      <c r="P289" s="28">
        <f t="shared" si="896"/>
        <v>0</v>
      </c>
      <c r="Q289" s="28">
        <f t="shared" si="896"/>
        <v>0</v>
      </c>
      <c r="R289" s="28">
        <f t="shared" si="896"/>
        <v>0</v>
      </c>
      <c r="S289" s="28">
        <f t="shared" si="896"/>
        <v>0</v>
      </c>
      <c r="T289" s="28">
        <f t="shared" si="896"/>
        <v>0</v>
      </c>
      <c r="U289" s="28">
        <f t="shared" si="896"/>
        <v>0</v>
      </c>
      <c r="V289" s="28">
        <f t="shared" si="896"/>
        <v>0</v>
      </c>
      <c r="W289" s="28">
        <f t="shared" si="896"/>
        <v>0</v>
      </c>
      <c r="X289" s="28">
        <f t="shared" si="896"/>
        <v>0</v>
      </c>
      <c r="Y289" s="28">
        <f t="shared" si="896"/>
        <v>0</v>
      </c>
      <c r="Z289" s="28">
        <f t="shared" si="896"/>
        <v>0</v>
      </c>
      <c r="AA289" s="28">
        <f t="shared" si="896"/>
        <v>0</v>
      </c>
      <c r="AB289" s="28">
        <f t="shared" si="896"/>
        <v>0</v>
      </c>
      <c r="AC289" s="28">
        <f t="shared" si="896"/>
        <v>0</v>
      </c>
      <c r="AD289" s="28">
        <f t="shared" ref="AD289" si="897">SUM(AD303+AD314+AD305+AD308+AD310+AD312+AD316+AD290)</f>
        <v>0</v>
      </c>
      <c r="AE289" s="28">
        <f t="shared" si="896"/>
        <v>66337107</v>
      </c>
      <c r="AF289" s="28">
        <f t="shared" si="896"/>
        <v>0</v>
      </c>
      <c r="AG289" s="28">
        <f t="shared" si="896"/>
        <v>0</v>
      </c>
      <c r="AH289" s="28">
        <f t="shared" si="896"/>
        <v>0</v>
      </c>
      <c r="AI289" s="28">
        <f t="shared" si="896"/>
        <v>0</v>
      </c>
      <c r="AJ289" s="28">
        <f t="shared" si="896"/>
        <v>0</v>
      </c>
      <c r="AK289" s="28">
        <f t="shared" si="896"/>
        <v>0</v>
      </c>
      <c r="AL289" s="28">
        <f t="shared" si="896"/>
        <v>0</v>
      </c>
      <c r="AM289" s="28">
        <f t="shared" si="896"/>
        <v>0</v>
      </c>
      <c r="AN289" s="28">
        <f t="shared" si="896"/>
        <v>0</v>
      </c>
      <c r="AO289" s="28">
        <f t="shared" si="896"/>
        <v>0</v>
      </c>
      <c r="AP289" s="28">
        <f t="shared" si="896"/>
        <v>0</v>
      </c>
      <c r="AQ289" s="28"/>
      <c r="AR289" s="28">
        <f t="shared" ref="AR289:AY289" si="898">SUM(AR303+AR314+AR305+AR308+AR310+AR312+AR316+AR290)</f>
        <v>0</v>
      </c>
      <c r="AS289" s="28">
        <f t="shared" si="898"/>
        <v>0</v>
      </c>
      <c r="AT289" s="28">
        <f t="shared" si="898"/>
        <v>0</v>
      </c>
      <c r="AU289" s="28">
        <f t="shared" si="898"/>
        <v>0</v>
      </c>
      <c r="AV289" s="28">
        <f t="shared" si="898"/>
        <v>0</v>
      </c>
      <c r="AW289" s="28">
        <f t="shared" si="898"/>
        <v>0</v>
      </c>
      <c r="AX289" s="28">
        <f t="shared" si="898"/>
        <v>0</v>
      </c>
      <c r="AY289" s="28">
        <f t="shared" si="898"/>
        <v>0</v>
      </c>
      <c r="AZ289" s="28"/>
      <c r="BA289" s="28">
        <f t="shared" ref="BA289:CQ289" si="899">SUM(BA303+BA314+BA305+BA308+BA310+BA312+BA316+BA290)</f>
        <v>66337107</v>
      </c>
      <c r="BB289" s="28">
        <f t="shared" si="899"/>
        <v>399430653</v>
      </c>
      <c r="BC289" s="28">
        <f t="shared" si="899"/>
        <v>31337491</v>
      </c>
      <c r="BD289" s="28">
        <f t="shared" si="899"/>
        <v>31337491</v>
      </c>
      <c r="BE289" s="28">
        <f t="shared" si="899"/>
        <v>0</v>
      </c>
      <c r="BF289" s="28">
        <f t="shared" si="899"/>
        <v>0</v>
      </c>
      <c r="BG289" s="28">
        <f t="shared" si="899"/>
        <v>28861460</v>
      </c>
      <c r="BH289" s="28">
        <f t="shared" si="899"/>
        <v>19583700</v>
      </c>
      <c r="BI289" s="28">
        <f t="shared" si="899"/>
        <v>9277760</v>
      </c>
      <c r="BJ289" s="28">
        <f t="shared" si="899"/>
        <v>280711960</v>
      </c>
      <c r="BK289" s="28">
        <f t="shared" si="899"/>
        <v>0</v>
      </c>
      <c r="BL289" s="28">
        <f t="shared" si="899"/>
        <v>0</v>
      </c>
      <c r="BM289" s="28">
        <f t="shared" si="899"/>
        <v>0</v>
      </c>
      <c r="BN289" s="28">
        <f t="shared" si="899"/>
        <v>0</v>
      </c>
      <c r="BO289" s="28">
        <f t="shared" si="899"/>
        <v>58519742</v>
      </c>
      <c r="BP289" s="28">
        <f t="shared" si="899"/>
        <v>0</v>
      </c>
      <c r="BQ289" s="28">
        <f t="shared" si="899"/>
        <v>0</v>
      </c>
      <c r="BR289" s="28">
        <f t="shared" si="899"/>
        <v>0</v>
      </c>
      <c r="BS289" s="28">
        <f t="shared" si="899"/>
        <v>0</v>
      </c>
      <c r="BT289" s="28">
        <f t="shared" si="899"/>
        <v>0</v>
      </c>
      <c r="BU289" s="28">
        <f t="shared" si="899"/>
        <v>0</v>
      </c>
      <c r="BV289" s="28">
        <f t="shared" si="899"/>
        <v>0</v>
      </c>
      <c r="BW289" s="28">
        <f t="shared" si="899"/>
        <v>0</v>
      </c>
      <c r="BX289" s="28">
        <f t="shared" si="899"/>
        <v>0</v>
      </c>
      <c r="BY289" s="28">
        <f t="shared" si="899"/>
        <v>0</v>
      </c>
      <c r="BZ289" s="28">
        <f t="shared" si="899"/>
        <v>58519742</v>
      </c>
      <c r="CA289" s="28">
        <f t="shared" si="899"/>
        <v>316319192</v>
      </c>
      <c r="CB289" s="28">
        <f t="shared" si="899"/>
        <v>305462358</v>
      </c>
      <c r="CC289" s="28">
        <f t="shared" si="899"/>
        <v>9824596</v>
      </c>
      <c r="CD289" s="28">
        <f t="shared" si="899"/>
        <v>0</v>
      </c>
      <c r="CE289" s="28">
        <f t="shared" si="899"/>
        <v>9824596</v>
      </c>
      <c r="CF289" s="28">
        <f t="shared" si="899"/>
        <v>178987595</v>
      </c>
      <c r="CG289" s="28">
        <f t="shared" si="899"/>
        <v>0</v>
      </c>
      <c r="CH289" s="28">
        <f t="shared" si="899"/>
        <v>150355065</v>
      </c>
      <c r="CI289" s="28">
        <f t="shared" si="899"/>
        <v>14034780</v>
      </c>
      <c r="CJ289" s="28">
        <f t="shared" si="899"/>
        <v>12695250</v>
      </c>
      <c r="CK289" s="28">
        <f t="shared" si="899"/>
        <v>1902500</v>
      </c>
      <c r="CL289" s="28">
        <f t="shared" si="899"/>
        <v>116650167</v>
      </c>
      <c r="CM289" s="28">
        <f t="shared" si="899"/>
        <v>0</v>
      </c>
      <c r="CN289" s="28">
        <f t="shared" si="899"/>
        <v>102976345</v>
      </c>
      <c r="CO289" s="28">
        <f t="shared" si="899"/>
        <v>11673822</v>
      </c>
      <c r="CP289" s="28">
        <f t="shared" si="899"/>
        <v>0</v>
      </c>
      <c r="CQ289" s="28">
        <f t="shared" si="899"/>
        <v>2000000</v>
      </c>
      <c r="CR289" s="28"/>
      <c r="CS289" s="28"/>
      <c r="CT289" s="28">
        <f t="shared" ref="CT289:DA289" si="900">SUM(CT303+CT314+CT305+CT308+CT310+CT312+CT316+CT290)</f>
        <v>10856834</v>
      </c>
      <c r="CU289" s="28">
        <f t="shared" si="900"/>
        <v>0</v>
      </c>
      <c r="CV289" s="28">
        <f t="shared" si="900"/>
        <v>0</v>
      </c>
      <c r="CW289" s="28">
        <f t="shared" si="900"/>
        <v>0</v>
      </c>
      <c r="CX289" s="28">
        <f t="shared" si="900"/>
        <v>0</v>
      </c>
      <c r="CY289" s="28">
        <f t="shared" si="900"/>
        <v>0</v>
      </c>
      <c r="CZ289" s="28">
        <f t="shared" si="900"/>
        <v>0</v>
      </c>
      <c r="DA289" s="29">
        <f t="shared" si="900"/>
        <v>0</v>
      </c>
    </row>
    <row r="290" spans="1:106" s="84" customFormat="1" ht="15.75" x14ac:dyDescent="0.25">
      <c r="A290" s="71" t="s">
        <v>333</v>
      </c>
      <c r="B290" s="16" t="s">
        <v>1</v>
      </c>
      <c r="C290" s="30" t="s">
        <v>334</v>
      </c>
      <c r="D290" s="18">
        <f t="shared" ref="D290:AP290" si="901">SUM(D291:D302)</f>
        <v>261940183</v>
      </c>
      <c r="E290" s="18">
        <f t="shared" si="901"/>
        <v>261940183</v>
      </c>
      <c r="F290" s="18">
        <f t="shared" si="901"/>
        <v>6540732</v>
      </c>
      <c r="G290" s="18">
        <f t="shared" si="901"/>
        <v>0</v>
      </c>
      <c r="H290" s="18">
        <f t="shared" si="901"/>
        <v>0</v>
      </c>
      <c r="I290" s="18">
        <f t="shared" si="901"/>
        <v>0</v>
      </c>
      <c r="J290" s="18">
        <f t="shared" si="901"/>
        <v>0</v>
      </c>
      <c r="K290" s="18">
        <f t="shared" si="901"/>
        <v>0</v>
      </c>
      <c r="L290" s="18">
        <f t="shared" si="901"/>
        <v>0</v>
      </c>
      <c r="M290" s="18">
        <f t="shared" si="901"/>
        <v>0</v>
      </c>
      <c r="N290" s="18">
        <f t="shared" si="901"/>
        <v>0</v>
      </c>
      <c r="O290" s="18">
        <f t="shared" si="901"/>
        <v>0</v>
      </c>
      <c r="P290" s="18">
        <f t="shared" si="901"/>
        <v>0</v>
      </c>
      <c r="Q290" s="18">
        <f t="shared" si="901"/>
        <v>0</v>
      </c>
      <c r="R290" s="18">
        <f t="shared" si="901"/>
        <v>0</v>
      </c>
      <c r="S290" s="18">
        <f t="shared" si="901"/>
        <v>0</v>
      </c>
      <c r="T290" s="18">
        <f t="shared" si="901"/>
        <v>0</v>
      </c>
      <c r="U290" s="18">
        <f t="shared" si="901"/>
        <v>0</v>
      </c>
      <c r="V290" s="18">
        <f t="shared" si="901"/>
        <v>0</v>
      </c>
      <c r="W290" s="18">
        <f t="shared" si="901"/>
        <v>0</v>
      </c>
      <c r="X290" s="18">
        <f t="shared" si="901"/>
        <v>0</v>
      </c>
      <c r="Y290" s="18">
        <f t="shared" si="901"/>
        <v>0</v>
      </c>
      <c r="Z290" s="18">
        <f t="shared" si="901"/>
        <v>0</v>
      </c>
      <c r="AA290" s="18">
        <f t="shared" si="901"/>
        <v>0</v>
      </c>
      <c r="AB290" s="18">
        <f t="shared" si="901"/>
        <v>0</v>
      </c>
      <c r="AC290" s="18">
        <f t="shared" si="901"/>
        <v>0</v>
      </c>
      <c r="AD290" s="18">
        <f t="shared" ref="AD290" si="902">SUM(AD291:AD302)</f>
        <v>0</v>
      </c>
      <c r="AE290" s="18">
        <f t="shared" si="901"/>
        <v>6540732</v>
      </c>
      <c r="AF290" s="18">
        <f t="shared" si="901"/>
        <v>0</v>
      </c>
      <c r="AG290" s="18">
        <f t="shared" si="901"/>
        <v>0</v>
      </c>
      <c r="AH290" s="18">
        <f t="shared" si="901"/>
        <v>0</v>
      </c>
      <c r="AI290" s="18">
        <f t="shared" si="901"/>
        <v>0</v>
      </c>
      <c r="AJ290" s="18">
        <f t="shared" si="901"/>
        <v>0</v>
      </c>
      <c r="AK290" s="18">
        <f t="shared" si="901"/>
        <v>0</v>
      </c>
      <c r="AL290" s="18">
        <f t="shared" si="901"/>
        <v>0</v>
      </c>
      <c r="AM290" s="18">
        <f t="shared" si="901"/>
        <v>0</v>
      </c>
      <c r="AN290" s="18">
        <f t="shared" si="901"/>
        <v>0</v>
      </c>
      <c r="AO290" s="18">
        <f t="shared" si="901"/>
        <v>0</v>
      </c>
      <c r="AP290" s="18">
        <f t="shared" si="901"/>
        <v>0</v>
      </c>
      <c r="AQ290" s="18"/>
      <c r="AR290" s="18">
        <f t="shared" ref="AR290:BW290" si="903">SUM(AR291:AR302)</f>
        <v>0</v>
      </c>
      <c r="AS290" s="18">
        <f t="shared" si="903"/>
        <v>0</v>
      </c>
      <c r="AT290" s="18">
        <f t="shared" si="903"/>
        <v>0</v>
      </c>
      <c r="AU290" s="18">
        <f t="shared" si="903"/>
        <v>0</v>
      </c>
      <c r="AV290" s="18">
        <f t="shared" si="903"/>
        <v>0</v>
      </c>
      <c r="AW290" s="18">
        <f t="shared" si="903"/>
        <v>0</v>
      </c>
      <c r="AX290" s="18">
        <f t="shared" si="903"/>
        <v>0</v>
      </c>
      <c r="AY290" s="18">
        <f t="shared" si="903"/>
        <v>0</v>
      </c>
      <c r="AZ290" s="18">
        <f t="shared" si="903"/>
        <v>0</v>
      </c>
      <c r="BA290" s="18">
        <f t="shared" si="903"/>
        <v>6540732</v>
      </c>
      <c r="BB290" s="18">
        <f t="shared" si="903"/>
        <v>255399451</v>
      </c>
      <c r="BC290" s="18">
        <f t="shared" si="903"/>
        <v>0</v>
      </c>
      <c r="BD290" s="18">
        <f t="shared" si="903"/>
        <v>0</v>
      </c>
      <c r="BE290" s="18">
        <f t="shared" si="903"/>
        <v>0</v>
      </c>
      <c r="BF290" s="18">
        <f t="shared" si="903"/>
        <v>0</v>
      </c>
      <c r="BG290" s="18">
        <f t="shared" si="903"/>
        <v>19583700</v>
      </c>
      <c r="BH290" s="18">
        <f t="shared" si="903"/>
        <v>19583700</v>
      </c>
      <c r="BI290" s="18">
        <f t="shared" si="903"/>
        <v>0</v>
      </c>
      <c r="BJ290" s="18">
        <f t="shared" si="903"/>
        <v>235815751</v>
      </c>
      <c r="BK290" s="18">
        <f t="shared" si="903"/>
        <v>0</v>
      </c>
      <c r="BL290" s="18">
        <f t="shared" si="903"/>
        <v>0</v>
      </c>
      <c r="BM290" s="18">
        <f t="shared" si="903"/>
        <v>0</v>
      </c>
      <c r="BN290" s="18">
        <f t="shared" si="903"/>
        <v>0</v>
      </c>
      <c r="BO290" s="18">
        <f t="shared" si="903"/>
        <v>0</v>
      </c>
      <c r="BP290" s="18">
        <f t="shared" si="903"/>
        <v>0</v>
      </c>
      <c r="BQ290" s="18">
        <f t="shared" si="903"/>
        <v>0</v>
      </c>
      <c r="BR290" s="18">
        <f t="shared" si="903"/>
        <v>0</v>
      </c>
      <c r="BS290" s="18">
        <f t="shared" si="903"/>
        <v>0</v>
      </c>
      <c r="BT290" s="18">
        <f t="shared" si="903"/>
        <v>0</v>
      </c>
      <c r="BU290" s="18">
        <f t="shared" si="903"/>
        <v>0</v>
      </c>
      <c r="BV290" s="18">
        <f t="shared" si="903"/>
        <v>0</v>
      </c>
      <c r="BW290" s="18">
        <f t="shared" si="903"/>
        <v>0</v>
      </c>
      <c r="BX290" s="18">
        <f t="shared" ref="BX290:CQ290" si="904">SUM(BX291:BX302)</f>
        <v>0</v>
      </c>
      <c r="BY290" s="18">
        <f t="shared" si="904"/>
        <v>0</v>
      </c>
      <c r="BZ290" s="18">
        <f t="shared" si="904"/>
        <v>0</v>
      </c>
      <c r="CA290" s="18">
        <f t="shared" si="904"/>
        <v>0</v>
      </c>
      <c r="CB290" s="18">
        <f t="shared" si="904"/>
        <v>0</v>
      </c>
      <c r="CC290" s="18">
        <f t="shared" si="904"/>
        <v>0</v>
      </c>
      <c r="CD290" s="18">
        <f t="shared" si="904"/>
        <v>0</v>
      </c>
      <c r="CE290" s="18">
        <f t="shared" si="904"/>
        <v>0</v>
      </c>
      <c r="CF290" s="18">
        <f t="shared" si="904"/>
        <v>0</v>
      </c>
      <c r="CG290" s="18">
        <f t="shared" si="904"/>
        <v>0</v>
      </c>
      <c r="CH290" s="18">
        <f t="shared" si="904"/>
        <v>0</v>
      </c>
      <c r="CI290" s="18">
        <f t="shared" si="904"/>
        <v>0</v>
      </c>
      <c r="CJ290" s="18">
        <f t="shared" si="904"/>
        <v>0</v>
      </c>
      <c r="CK290" s="18">
        <f t="shared" si="904"/>
        <v>0</v>
      </c>
      <c r="CL290" s="18">
        <f t="shared" si="904"/>
        <v>0</v>
      </c>
      <c r="CM290" s="18">
        <f t="shared" si="904"/>
        <v>0</v>
      </c>
      <c r="CN290" s="18">
        <f t="shared" si="904"/>
        <v>0</v>
      </c>
      <c r="CO290" s="18">
        <f t="shared" si="904"/>
        <v>0</v>
      </c>
      <c r="CP290" s="18">
        <f t="shared" si="904"/>
        <v>0</v>
      </c>
      <c r="CQ290" s="18">
        <f t="shared" si="904"/>
        <v>0</v>
      </c>
      <c r="CR290" s="18"/>
      <c r="CS290" s="18"/>
      <c r="CT290" s="18">
        <f>SUM(CT291:CT302)</f>
        <v>0</v>
      </c>
      <c r="CU290" s="18"/>
      <c r="CV290" s="18"/>
      <c r="CW290" s="18"/>
      <c r="CX290" s="18">
        <f>SUM(CX291:CX302)</f>
        <v>0</v>
      </c>
      <c r="CY290" s="18">
        <f>SUM(CY291:CY302)</f>
        <v>0</v>
      </c>
      <c r="CZ290" s="18">
        <f>SUM(CZ291:CZ302)</f>
        <v>0</v>
      </c>
      <c r="DA290" s="46">
        <f>SUM(DA291:DA302)</f>
        <v>0</v>
      </c>
      <c r="DB290" s="85"/>
    </row>
    <row r="291" spans="1:106" s="85" customFormat="1" ht="31.5" x14ac:dyDescent="0.25">
      <c r="A291" s="76"/>
      <c r="B291" s="42" t="s">
        <v>335</v>
      </c>
      <c r="C291" s="43" t="s">
        <v>507</v>
      </c>
      <c r="D291" s="38">
        <f t="shared" ref="D291:D302" si="905">SUM(E291+CA291+CX291)</f>
        <v>6540732</v>
      </c>
      <c r="E291" s="39">
        <f t="shared" ref="E291:E302" si="906">SUM(F291+BB291)</f>
        <v>6540732</v>
      </c>
      <c r="F291" s="39">
        <f t="shared" ref="F291:F302" si="907">SUM(G291+H291+I291+P291+S291+T291+U291+AE291)</f>
        <v>6540732</v>
      </c>
      <c r="G291" s="39">
        <v>0</v>
      </c>
      <c r="H291" s="39">
        <v>0</v>
      </c>
      <c r="I291" s="39">
        <f t="shared" ref="I291" si="908">SUM(J291:O291)</f>
        <v>0</v>
      </c>
      <c r="J291" s="39">
        <v>0</v>
      </c>
      <c r="K291" s="39">
        <v>0</v>
      </c>
      <c r="L291" s="39">
        <v>0</v>
      </c>
      <c r="M291" s="39">
        <v>0</v>
      </c>
      <c r="N291" s="39">
        <v>0</v>
      </c>
      <c r="O291" s="39">
        <v>0</v>
      </c>
      <c r="P291" s="39">
        <f t="shared" ref="P291:P299" si="909">SUM(Q291:R291)</f>
        <v>0</v>
      </c>
      <c r="Q291" s="39">
        <v>0</v>
      </c>
      <c r="R291" s="39">
        <v>0</v>
      </c>
      <c r="S291" s="39">
        <v>0</v>
      </c>
      <c r="T291" s="39">
        <v>0</v>
      </c>
      <c r="U291" s="39">
        <f t="shared" ref="U291:U299" si="910">SUM(V291:AC291)</f>
        <v>0</v>
      </c>
      <c r="V291" s="39">
        <v>0</v>
      </c>
      <c r="W291" s="39">
        <v>0</v>
      </c>
      <c r="X291" s="39">
        <v>0</v>
      </c>
      <c r="Y291" s="39">
        <v>0</v>
      </c>
      <c r="Z291" s="39">
        <v>0</v>
      </c>
      <c r="AA291" s="39">
        <v>0</v>
      </c>
      <c r="AB291" s="39">
        <v>0</v>
      </c>
      <c r="AC291" s="39">
        <v>0</v>
      </c>
      <c r="AD291" s="39">
        <v>0</v>
      </c>
      <c r="AE291" s="39">
        <f>SUM(AF291:BA291)</f>
        <v>6540732</v>
      </c>
      <c r="AF291" s="39">
        <v>0</v>
      </c>
      <c r="AG291" s="39">
        <v>0</v>
      </c>
      <c r="AH291" s="39">
        <v>0</v>
      </c>
      <c r="AI291" s="39">
        <v>0</v>
      </c>
      <c r="AJ291" s="39">
        <v>0</v>
      </c>
      <c r="AK291" s="39">
        <v>0</v>
      </c>
      <c r="AL291" s="39">
        <v>0</v>
      </c>
      <c r="AM291" s="39">
        <v>0</v>
      </c>
      <c r="AN291" s="39">
        <v>0</v>
      </c>
      <c r="AO291" s="39">
        <v>0</v>
      </c>
      <c r="AP291" s="39">
        <v>0</v>
      </c>
      <c r="AQ291" s="39"/>
      <c r="AR291" s="39">
        <v>0</v>
      </c>
      <c r="AS291" s="39">
        <v>0</v>
      </c>
      <c r="AT291" s="39">
        <v>0</v>
      </c>
      <c r="AU291" s="39">
        <v>0</v>
      </c>
      <c r="AV291" s="39">
        <v>0</v>
      </c>
      <c r="AW291" s="39">
        <v>0</v>
      </c>
      <c r="AX291" s="39">
        <v>0</v>
      </c>
      <c r="AY291" s="39">
        <v>0</v>
      </c>
      <c r="AZ291" s="39">
        <v>0</v>
      </c>
      <c r="BA291" s="35">
        <v>6540732</v>
      </c>
      <c r="BB291" s="39">
        <f>SUM(BC291+BG291+BJ291+BL291+BO291)</f>
        <v>0</v>
      </c>
      <c r="BC291" s="39">
        <f t="shared" ref="BC291:BC301" si="911">SUM(BD291:BF291)</f>
        <v>0</v>
      </c>
      <c r="BD291" s="39">
        <v>0</v>
      </c>
      <c r="BE291" s="39">
        <v>0</v>
      </c>
      <c r="BF291" s="39">
        <v>0</v>
      </c>
      <c r="BG291" s="39">
        <f>SUM(BH291:BI291)</f>
        <v>0</v>
      </c>
      <c r="BH291" s="39"/>
      <c r="BI291" s="39">
        <v>0</v>
      </c>
      <c r="BJ291" s="35">
        <v>0</v>
      </c>
      <c r="BK291" s="39">
        <v>0</v>
      </c>
      <c r="BL291" s="39">
        <f t="shared" ref="BL291:BL299" si="912">SUM(BM291)</f>
        <v>0</v>
      </c>
      <c r="BM291" s="39">
        <v>0</v>
      </c>
      <c r="BN291" s="39">
        <v>0</v>
      </c>
      <c r="BO291" s="39">
        <f t="shared" ref="BO291:BO301" si="913">SUM(BP291:BZ291)</f>
        <v>0</v>
      </c>
      <c r="BP291" s="39">
        <v>0</v>
      </c>
      <c r="BQ291" s="39">
        <v>0</v>
      </c>
      <c r="BR291" s="39">
        <v>0</v>
      </c>
      <c r="BS291" s="39">
        <v>0</v>
      </c>
      <c r="BT291" s="39">
        <v>0</v>
      </c>
      <c r="BU291" s="39">
        <v>0</v>
      </c>
      <c r="BV291" s="39">
        <v>0</v>
      </c>
      <c r="BW291" s="39">
        <v>0</v>
      </c>
      <c r="BX291" s="39">
        <v>0</v>
      </c>
      <c r="BY291" s="39">
        <v>0</v>
      </c>
      <c r="BZ291" s="39">
        <v>0</v>
      </c>
      <c r="CA291" s="39">
        <f t="shared" ref="CA291:CA317" si="914">SUM(CB291+CT291)</f>
        <v>0</v>
      </c>
      <c r="CB291" s="39">
        <f>SUM(CC291+CF291+CL291)</f>
        <v>0</v>
      </c>
      <c r="CC291" s="39">
        <f t="shared" ref="CC291" si="915">SUM(CD291:CE291)</f>
        <v>0</v>
      </c>
      <c r="CD291" s="39">
        <v>0</v>
      </c>
      <c r="CE291" s="39">
        <v>0</v>
      </c>
      <c r="CF291" s="19">
        <f>SUM(CG291:CK291)</f>
        <v>0</v>
      </c>
      <c r="CG291" s="39">
        <v>0</v>
      </c>
      <c r="CH291" s="39">
        <v>0</v>
      </c>
      <c r="CI291" s="39">
        <v>0</v>
      </c>
      <c r="CJ291" s="39">
        <v>0</v>
      </c>
      <c r="CK291" s="39">
        <v>0</v>
      </c>
      <c r="CL291" s="39">
        <f t="shared" ref="CL291:CL301" si="916">SUM(CM291:CQ291)</f>
        <v>0</v>
      </c>
      <c r="CM291" s="39">
        <v>0</v>
      </c>
      <c r="CN291" s="39">
        <v>0</v>
      </c>
      <c r="CO291" s="39">
        <v>0</v>
      </c>
      <c r="CP291" s="39"/>
      <c r="CQ291" s="39"/>
      <c r="CR291" s="39"/>
      <c r="CS291" s="39"/>
      <c r="CT291" s="39">
        <v>0</v>
      </c>
      <c r="CU291" s="39"/>
      <c r="CV291" s="39"/>
      <c r="CW291" s="39"/>
      <c r="CX291" s="39">
        <f t="shared" ref="CX291" si="917">SUM(CY291)</f>
        <v>0</v>
      </c>
      <c r="CY291" s="39">
        <f t="shared" ref="CY291:CY299" si="918">SUM(CZ291:DA291)</f>
        <v>0</v>
      </c>
      <c r="CZ291" s="39">
        <v>0</v>
      </c>
      <c r="DA291" s="41">
        <v>0</v>
      </c>
      <c r="DB291" s="84"/>
    </row>
    <row r="292" spans="1:106" s="85" customFormat="1" ht="15.75" x14ac:dyDescent="0.25">
      <c r="A292" s="76"/>
      <c r="B292" s="42" t="s">
        <v>335</v>
      </c>
      <c r="C292" s="43" t="s">
        <v>627</v>
      </c>
      <c r="D292" s="38">
        <f t="shared" si="905"/>
        <v>2390000</v>
      </c>
      <c r="E292" s="39">
        <f t="shared" si="906"/>
        <v>2390000</v>
      </c>
      <c r="F292" s="39">
        <f t="shared" si="907"/>
        <v>0</v>
      </c>
      <c r="G292" s="39">
        <v>0</v>
      </c>
      <c r="H292" s="39">
        <v>0</v>
      </c>
      <c r="I292" s="39">
        <f t="shared" ref="I292:I294" si="919">SUM(J292:O292)</f>
        <v>0</v>
      </c>
      <c r="J292" s="39">
        <v>0</v>
      </c>
      <c r="K292" s="39">
        <v>0</v>
      </c>
      <c r="L292" s="39">
        <v>0</v>
      </c>
      <c r="M292" s="39">
        <v>0</v>
      </c>
      <c r="N292" s="39">
        <v>0</v>
      </c>
      <c r="O292" s="39">
        <v>0</v>
      </c>
      <c r="P292" s="39">
        <f t="shared" ref="P292:P294" si="920">SUM(Q292:R292)</f>
        <v>0</v>
      </c>
      <c r="Q292" s="39">
        <v>0</v>
      </c>
      <c r="R292" s="39">
        <v>0</v>
      </c>
      <c r="S292" s="39">
        <v>0</v>
      </c>
      <c r="T292" s="39">
        <v>0</v>
      </c>
      <c r="U292" s="39">
        <f t="shared" ref="U292:U294" si="921">SUM(V292:AC292)</f>
        <v>0</v>
      </c>
      <c r="V292" s="39">
        <v>0</v>
      </c>
      <c r="W292" s="39">
        <v>0</v>
      </c>
      <c r="X292" s="39">
        <v>0</v>
      </c>
      <c r="Y292" s="39">
        <v>0</v>
      </c>
      <c r="Z292" s="39">
        <v>0</v>
      </c>
      <c r="AA292" s="39">
        <v>0</v>
      </c>
      <c r="AB292" s="39">
        <v>0</v>
      </c>
      <c r="AC292" s="39">
        <v>0</v>
      </c>
      <c r="AD292" s="39">
        <v>0</v>
      </c>
      <c r="AE292" s="39">
        <f t="shared" ref="AE292:AE294" si="922">SUM(AF292:BA292)</f>
        <v>0</v>
      </c>
      <c r="AF292" s="39">
        <v>0</v>
      </c>
      <c r="AG292" s="39">
        <v>0</v>
      </c>
      <c r="AH292" s="39">
        <v>0</v>
      </c>
      <c r="AI292" s="39">
        <v>0</v>
      </c>
      <c r="AJ292" s="39">
        <v>0</v>
      </c>
      <c r="AK292" s="39">
        <v>0</v>
      </c>
      <c r="AL292" s="39">
        <v>0</v>
      </c>
      <c r="AM292" s="39">
        <v>0</v>
      </c>
      <c r="AN292" s="39">
        <v>0</v>
      </c>
      <c r="AO292" s="39">
        <v>0</v>
      </c>
      <c r="AP292" s="39">
        <v>0</v>
      </c>
      <c r="AQ292" s="39"/>
      <c r="AR292" s="39">
        <v>0</v>
      </c>
      <c r="AS292" s="39">
        <v>0</v>
      </c>
      <c r="AT292" s="39">
        <v>0</v>
      </c>
      <c r="AU292" s="39">
        <v>0</v>
      </c>
      <c r="AV292" s="39">
        <v>0</v>
      </c>
      <c r="AW292" s="39">
        <v>0</v>
      </c>
      <c r="AX292" s="39">
        <v>0</v>
      </c>
      <c r="AY292" s="39">
        <v>0</v>
      </c>
      <c r="AZ292" s="39">
        <v>0</v>
      </c>
      <c r="BA292" s="35"/>
      <c r="BB292" s="39">
        <f t="shared" ref="BB292:BB294" si="923">SUM(BC292+BG292+BJ292+BL292+BO292)</f>
        <v>2390000</v>
      </c>
      <c r="BC292" s="39">
        <f t="shared" ref="BC292:BC294" si="924">SUM(BD292:BF292)</f>
        <v>0</v>
      </c>
      <c r="BD292" s="39">
        <v>0</v>
      </c>
      <c r="BE292" s="39">
        <v>0</v>
      </c>
      <c r="BF292" s="39">
        <v>0</v>
      </c>
      <c r="BG292" s="39">
        <f t="shared" ref="BG292:BG294" si="925">SUM(BH292:BI292)</f>
        <v>0</v>
      </c>
      <c r="BH292" s="39"/>
      <c r="BI292" s="39">
        <v>0</v>
      </c>
      <c r="BJ292" s="35">
        <f>0+1500000+890000</f>
        <v>2390000</v>
      </c>
      <c r="BK292" s="39">
        <v>0</v>
      </c>
      <c r="BL292" s="39">
        <f t="shared" ref="BL292:BL294" si="926">SUM(BM292)</f>
        <v>0</v>
      </c>
      <c r="BM292" s="39">
        <v>0</v>
      </c>
      <c r="BN292" s="39">
        <v>0</v>
      </c>
      <c r="BO292" s="39">
        <f t="shared" ref="BO292:BO294" si="927">SUM(BP292:BZ292)</f>
        <v>0</v>
      </c>
      <c r="BP292" s="39">
        <v>0</v>
      </c>
      <c r="BQ292" s="39">
        <v>0</v>
      </c>
      <c r="BR292" s="39">
        <v>0</v>
      </c>
      <c r="BS292" s="39">
        <v>0</v>
      </c>
      <c r="BT292" s="39">
        <v>0</v>
      </c>
      <c r="BU292" s="39">
        <v>0</v>
      </c>
      <c r="BV292" s="39">
        <v>0</v>
      </c>
      <c r="BW292" s="39">
        <v>0</v>
      </c>
      <c r="BX292" s="39">
        <v>0</v>
      </c>
      <c r="BY292" s="39">
        <v>0</v>
      </c>
      <c r="BZ292" s="39">
        <v>0</v>
      </c>
      <c r="CA292" s="39">
        <f t="shared" ref="CA292:CA294" si="928">SUM(CB292+CT292)</f>
        <v>0</v>
      </c>
      <c r="CB292" s="39">
        <f t="shared" ref="CB292:CB294" si="929">SUM(CC292+CF292+CL292)</f>
        <v>0</v>
      </c>
      <c r="CC292" s="39">
        <f t="shared" ref="CC292:CC294" si="930">SUM(CD292:CE292)</f>
        <v>0</v>
      </c>
      <c r="CD292" s="39">
        <v>0</v>
      </c>
      <c r="CE292" s="39">
        <v>0</v>
      </c>
      <c r="CF292" s="19">
        <f t="shared" ref="CF292:CF294" si="931">SUM(CG292:CK292)</f>
        <v>0</v>
      </c>
      <c r="CG292" s="39">
        <v>0</v>
      </c>
      <c r="CH292" s="39">
        <v>0</v>
      </c>
      <c r="CI292" s="39">
        <v>0</v>
      </c>
      <c r="CJ292" s="39">
        <v>0</v>
      </c>
      <c r="CK292" s="39">
        <v>0</v>
      </c>
      <c r="CL292" s="39">
        <f t="shared" ref="CL292:CL294" si="932">SUM(CM292:CQ292)</f>
        <v>0</v>
      </c>
      <c r="CM292" s="39">
        <v>0</v>
      </c>
      <c r="CN292" s="39">
        <v>0</v>
      </c>
      <c r="CO292" s="39">
        <v>0</v>
      </c>
      <c r="CP292" s="39"/>
      <c r="CQ292" s="39"/>
      <c r="CR292" s="39"/>
      <c r="CS292" s="39"/>
      <c r="CT292" s="39">
        <v>0</v>
      </c>
      <c r="CU292" s="39"/>
      <c r="CV292" s="39"/>
      <c r="CW292" s="39"/>
      <c r="CX292" s="39">
        <f t="shared" ref="CX292:CX294" si="933">SUM(CY292)</f>
        <v>0</v>
      </c>
      <c r="CY292" s="39">
        <f t="shared" ref="CY292:CY294" si="934">SUM(CZ292:DA292)</f>
        <v>0</v>
      </c>
      <c r="CZ292" s="39">
        <v>0</v>
      </c>
      <c r="DA292" s="41">
        <v>0</v>
      </c>
      <c r="DB292" s="84"/>
    </row>
    <row r="293" spans="1:106" s="85" customFormat="1" ht="15.75" x14ac:dyDescent="0.25">
      <c r="A293" s="76"/>
      <c r="B293" s="42" t="s">
        <v>335</v>
      </c>
      <c r="C293" s="43" t="s">
        <v>628</v>
      </c>
      <c r="D293" s="38">
        <f t="shared" si="905"/>
        <v>46637</v>
      </c>
      <c r="E293" s="39">
        <f t="shared" si="906"/>
        <v>46637</v>
      </c>
      <c r="F293" s="39">
        <f t="shared" si="907"/>
        <v>0</v>
      </c>
      <c r="G293" s="39">
        <v>0</v>
      </c>
      <c r="H293" s="39">
        <v>0</v>
      </c>
      <c r="I293" s="39">
        <f t="shared" si="919"/>
        <v>0</v>
      </c>
      <c r="J293" s="39">
        <v>0</v>
      </c>
      <c r="K293" s="39">
        <v>0</v>
      </c>
      <c r="L293" s="39">
        <v>0</v>
      </c>
      <c r="M293" s="39">
        <v>0</v>
      </c>
      <c r="N293" s="39">
        <v>0</v>
      </c>
      <c r="O293" s="39">
        <v>0</v>
      </c>
      <c r="P293" s="39">
        <f t="shared" si="920"/>
        <v>0</v>
      </c>
      <c r="Q293" s="39">
        <v>0</v>
      </c>
      <c r="R293" s="39">
        <v>0</v>
      </c>
      <c r="S293" s="39">
        <v>0</v>
      </c>
      <c r="T293" s="39">
        <v>0</v>
      </c>
      <c r="U293" s="39">
        <f t="shared" si="921"/>
        <v>0</v>
      </c>
      <c r="V293" s="39">
        <v>0</v>
      </c>
      <c r="W293" s="39">
        <v>0</v>
      </c>
      <c r="X293" s="39">
        <v>0</v>
      </c>
      <c r="Y293" s="39">
        <v>0</v>
      </c>
      <c r="Z293" s="39">
        <v>0</v>
      </c>
      <c r="AA293" s="39">
        <v>0</v>
      </c>
      <c r="AB293" s="39">
        <v>0</v>
      </c>
      <c r="AC293" s="39">
        <v>0</v>
      </c>
      <c r="AD293" s="39">
        <v>0</v>
      </c>
      <c r="AE293" s="39">
        <f t="shared" si="922"/>
        <v>0</v>
      </c>
      <c r="AF293" s="39">
        <v>0</v>
      </c>
      <c r="AG293" s="39">
        <v>0</v>
      </c>
      <c r="AH293" s="39">
        <v>0</v>
      </c>
      <c r="AI293" s="39">
        <v>0</v>
      </c>
      <c r="AJ293" s="39">
        <v>0</v>
      </c>
      <c r="AK293" s="39">
        <v>0</v>
      </c>
      <c r="AL293" s="39">
        <v>0</v>
      </c>
      <c r="AM293" s="39">
        <v>0</v>
      </c>
      <c r="AN293" s="39">
        <v>0</v>
      </c>
      <c r="AO293" s="39">
        <v>0</v>
      </c>
      <c r="AP293" s="39">
        <v>0</v>
      </c>
      <c r="AQ293" s="39"/>
      <c r="AR293" s="39">
        <v>0</v>
      </c>
      <c r="AS293" s="39">
        <v>0</v>
      </c>
      <c r="AT293" s="39">
        <v>0</v>
      </c>
      <c r="AU293" s="39">
        <v>0</v>
      </c>
      <c r="AV293" s="39">
        <v>0</v>
      </c>
      <c r="AW293" s="39">
        <v>0</v>
      </c>
      <c r="AX293" s="39">
        <v>0</v>
      </c>
      <c r="AY293" s="39">
        <v>0</v>
      </c>
      <c r="AZ293" s="39">
        <v>0</v>
      </c>
      <c r="BA293" s="35"/>
      <c r="BB293" s="39">
        <f t="shared" si="923"/>
        <v>46637</v>
      </c>
      <c r="BC293" s="39">
        <f t="shared" si="924"/>
        <v>0</v>
      </c>
      <c r="BD293" s="39">
        <v>0</v>
      </c>
      <c r="BE293" s="39">
        <v>0</v>
      </c>
      <c r="BF293" s="39">
        <v>0</v>
      </c>
      <c r="BG293" s="39">
        <f t="shared" si="925"/>
        <v>0</v>
      </c>
      <c r="BH293" s="39"/>
      <c r="BI293" s="39">
        <v>0</v>
      </c>
      <c r="BJ293" s="35">
        <f>0+46637</f>
        <v>46637</v>
      </c>
      <c r="BK293" s="39">
        <v>0</v>
      </c>
      <c r="BL293" s="39">
        <f t="shared" si="926"/>
        <v>0</v>
      </c>
      <c r="BM293" s="39">
        <v>0</v>
      </c>
      <c r="BN293" s="39">
        <v>0</v>
      </c>
      <c r="BO293" s="39">
        <f t="shared" si="927"/>
        <v>0</v>
      </c>
      <c r="BP293" s="39">
        <v>0</v>
      </c>
      <c r="BQ293" s="39">
        <v>0</v>
      </c>
      <c r="BR293" s="39">
        <v>0</v>
      </c>
      <c r="BS293" s="39">
        <v>0</v>
      </c>
      <c r="BT293" s="39">
        <v>0</v>
      </c>
      <c r="BU293" s="39">
        <v>0</v>
      </c>
      <c r="BV293" s="39">
        <v>0</v>
      </c>
      <c r="BW293" s="39">
        <v>0</v>
      </c>
      <c r="BX293" s="39">
        <v>0</v>
      </c>
      <c r="BY293" s="39">
        <v>0</v>
      </c>
      <c r="BZ293" s="39">
        <v>0</v>
      </c>
      <c r="CA293" s="39">
        <f t="shared" si="928"/>
        <v>0</v>
      </c>
      <c r="CB293" s="39">
        <f t="shared" si="929"/>
        <v>0</v>
      </c>
      <c r="CC293" s="39">
        <f t="shared" si="930"/>
        <v>0</v>
      </c>
      <c r="CD293" s="39">
        <v>0</v>
      </c>
      <c r="CE293" s="39">
        <v>0</v>
      </c>
      <c r="CF293" s="19">
        <f t="shared" si="931"/>
        <v>0</v>
      </c>
      <c r="CG293" s="39">
        <v>0</v>
      </c>
      <c r="CH293" s="39">
        <v>0</v>
      </c>
      <c r="CI293" s="39">
        <v>0</v>
      </c>
      <c r="CJ293" s="39">
        <v>0</v>
      </c>
      <c r="CK293" s="39">
        <v>0</v>
      </c>
      <c r="CL293" s="39">
        <f t="shared" si="932"/>
        <v>0</v>
      </c>
      <c r="CM293" s="39">
        <v>0</v>
      </c>
      <c r="CN293" s="39">
        <v>0</v>
      </c>
      <c r="CO293" s="39">
        <v>0</v>
      </c>
      <c r="CP293" s="39"/>
      <c r="CQ293" s="39"/>
      <c r="CR293" s="39"/>
      <c r="CS293" s="39"/>
      <c r="CT293" s="39">
        <v>0</v>
      </c>
      <c r="CU293" s="39"/>
      <c r="CV293" s="39"/>
      <c r="CW293" s="39"/>
      <c r="CX293" s="39">
        <f t="shared" si="933"/>
        <v>0</v>
      </c>
      <c r="CY293" s="39">
        <f t="shared" si="934"/>
        <v>0</v>
      </c>
      <c r="CZ293" s="39">
        <v>0</v>
      </c>
      <c r="DA293" s="41">
        <v>0</v>
      </c>
      <c r="DB293" s="84"/>
    </row>
    <row r="294" spans="1:106" s="85" customFormat="1" ht="31.5" x14ac:dyDescent="0.25">
      <c r="A294" s="76"/>
      <c r="B294" s="42" t="s">
        <v>335</v>
      </c>
      <c r="C294" s="43" t="s">
        <v>636</v>
      </c>
      <c r="D294" s="38">
        <f t="shared" si="905"/>
        <v>1553819</v>
      </c>
      <c r="E294" s="39">
        <f t="shared" si="906"/>
        <v>1553819</v>
      </c>
      <c r="F294" s="39">
        <f t="shared" si="907"/>
        <v>0</v>
      </c>
      <c r="G294" s="39">
        <v>0</v>
      </c>
      <c r="H294" s="39">
        <v>0</v>
      </c>
      <c r="I294" s="39">
        <f t="shared" si="919"/>
        <v>0</v>
      </c>
      <c r="J294" s="39">
        <v>0</v>
      </c>
      <c r="K294" s="39">
        <v>0</v>
      </c>
      <c r="L294" s="39">
        <v>0</v>
      </c>
      <c r="M294" s="39">
        <v>0</v>
      </c>
      <c r="N294" s="39">
        <v>0</v>
      </c>
      <c r="O294" s="39">
        <v>0</v>
      </c>
      <c r="P294" s="39">
        <f t="shared" si="920"/>
        <v>0</v>
      </c>
      <c r="Q294" s="39">
        <v>0</v>
      </c>
      <c r="R294" s="39">
        <v>0</v>
      </c>
      <c r="S294" s="39">
        <v>0</v>
      </c>
      <c r="T294" s="39">
        <v>0</v>
      </c>
      <c r="U294" s="39">
        <f t="shared" si="921"/>
        <v>0</v>
      </c>
      <c r="V294" s="39">
        <v>0</v>
      </c>
      <c r="W294" s="39">
        <v>0</v>
      </c>
      <c r="X294" s="39">
        <v>0</v>
      </c>
      <c r="Y294" s="39">
        <v>0</v>
      </c>
      <c r="Z294" s="39">
        <v>0</v>
      </c>
      <c r="AA294" s="39">
        <v>0</v>
      </c>
      <c r="AB294" s="39">
        <v>0</v>
      </c>
      <c r="AC294" s="39">
        <v>0</v>
      </c>
      <c r="AD294" s="39">
        <v>0</v>
      </c>
      <c r="AE294" s="39">
        <f t="shared" si="922"/>
        <v>0</v>
      </c>
      <c r="AF294" s="39">
        <v>0</v>
      </c>
      <c r="AG294" s="39">
        <v>0</v>
      </c>
      <c r="AH294" s="39">
        <v>0</v>
      </c>
      <c r="AI294" s="39">
        <v>0</v>
      </c>
      <c r="AJ294" s="39">
        <v>0</v>
      </c>
      <c r="AK294" s="39">
        <v>0</v>
      </c>
      <c r="AL294" s="39">
        <v>0</v>
      </c>
      <c r="AM294" s="39">
        <v>0</v>
      </c>
      <c r="AN294" s="39">
        <v>0</v>
      </c>
      <c r="AO294" s="39">
        <v>0</v>
      </c>
      <c r="AP294" s="39">
        <v>0</v>
      </c>
      <c r="AQ294" s="39"/>
      <c r="AR294" s="39">
        <v>0</v>
      </c>
      <c r="AS294" s="39">
        <v>0</v>
      </c>
      <c r="AT294" s="39">
        <v>0</v>
      </c>
      <c r="AU294" s="39">
        <v>0</v>
      </c>
      <c r="AV294" s="39">
        <v>0</v>
      </c>
      <c r="AW294" s="39">
        <v>0</v>
      </c>
      <c r="AX294" s="39">
        <v>0</v>
      </c>
      <c r="AY294" s="39">
        <v>0</v>
      </c>
      <c r="AZ294" s="39">
        <v>0</v>
      </c>
      <c r="BA294" s="35"/>
      <c r="BB294" s="39">
        <f t="shared" si="923"/>
        <v>1553819</v>
      </c>
      <c r="BC294" s="39">
        <f t="shared" si="924"/>
        <v>0</v>
      </c>
      <c r="BD294" s="39">
        <v>0</v>
      </c>
      <c r="BE294" s="39">
        <v>0</v>
      </c>
      <c r="BF294" s="39">
        <v>0</v>
      </c>
      <c r="BG294" s="39">
        <f t="shared" si="925"/>
        <v>0</v>
      </c>
      <c r="BH294" s="39"/>
      <c r="BI294" s="39">
        <v>0</v>
      </c>
      <c r="BJ294" s="35">
        <f>0+200784+858001+495034</f>
        <v>1553819</v>
      </c>
      <c r="BK294" s="39">
        <v>0</v>
      </c>
      <c r="BL294" s="39">
        <f t="shared" si="926"/>
        <v>0</v>
      </c>
      <c r="BM294" s="39">
        <v>0</v>
      </c>
      <c r="BN294" s="39">
        <v>0</v>
      </c>
      <c r="BO294" s="39">
        <f t="shared" si="927"/>
        <v>0</v>
      </c>
      <c r="BP294" s="39">
        <v>0</v>
      </c>
      <c r="BQ294" s="39">
        <v>0</v>
      </c>
      <c r="BR294" s="39">
        <v>0</v>
      </c>
      <c r="BS294" s="39">
        <v>0</v>
      </c>
      <c r="BT294" s="39">
        <v>0</v>
      </c>
      <c r="BU294" s="39">
        <v>0</v>
      </c>
      <c r="BV294" s="39">
        <v>0</v>
      </c>
      <c r="BW294" s="39">
        <v>0</v>
      </c>
      <c r="BX294" s="39">
        <v>0</v>
      </c>
      <c r="BY294" s="39">
        <v>0</v>
      </c>
      <c r="BZ294" s="39">
        <v>0</v>
      </c>
      <c r="CA294" s="39">
        <f t="shared" si="928"/>
        <v>0</v>
      </c>
      <c r="CB294" s="39">
        <f t="shared" si="929"/>
        <v>0</v>
      </c>
      <c r="CC294" s="39">
        <f t="shared" si="930"/>
        <v>0</v>
      </c>
      <c r="CD294" s="39">
        <v>0</v>
      </c>
      <c r="CE294" s="39">
        <v>0</v>
      </c>
      <c r="CF294" s="19">
        <f t="shared" si="931"/>
        <v>0</v>
      </c>
      <c r="CG294" s="39">
        <v>0</v>
      </c>
      <c r="CH294" s="39">
        <v>0</v>
      </c>
      <c r="CI294" s="39">
        <v>0</v>
      </c>
      <c r="CJ294" s="39">
        <v>0</v>
      </c>
      <c r="CK294" s="39">
        <v>0</v>
      </c>
      <c r="CL294" s="39">
        <f t="shared" si="932"/>
        <v>0</v>
      </c>
      <c r="CM294" s="39">
        <v>0</v>
      </c>
      <c r="CN294" s="39">
        <v>0</v>
      </c>
      <c r="CO294" s="39">
        <v>0</v>
      </c>
      <c r="CP294" s="39"/>
      <c r="CQ294" s="39"/>
      <c r="CR294" s="39"/>
      <c r="CS294" s="39"/>
      <c r="CT294" s="39">
        <v>0</v>
      </c>
      <c r="CU294" s="39"/>
      <c r="CV294" s="39"/>
      <c r="CW294" s="39"/>
      <c r="CX294" s="39">
        <f t="shared" si="933"/>
        <v>0</v>
      </c>
      <c r="CY294" s="39">
        <f t="shared" si="934"/>
        <v>0</v>
      </c>
      <c r="CZ294" s="39">
        <v>0</v>
      </c>
      <c r="DA294" s="41">
        <v>0</v>
      </c>
      <c r="DB294" s="84"/>
    </row>
    <row r="295" spans="1:106" s="84" customFormat="1" ht="31.5" x14ac:dyDescent="0.25">
      <c r="A295" s="74" t="s">
        <v>1</v>
      </c>
      <c r="B295" s="42" t="s">
        <v>335</v>
      </c>
      <c r="C295" s="43" t="s">
        <v>595</v>
      </c>
      <c r="D295" s="38">
        <f t="shared" si="905"/>
        <v>419142</v>
      </c>
      <c r="E295" s="39">
        <f t="shared" si="906"/>
        <v>419142</v>
      </c>
      <c r="F295" s="39">
        <f t="shared" si="907"/>
        <v>0</v>
      </c>
      <c r="G295" s="39">
        <v>0</v>
      </c>
      <c r="H295" s="39">
        <v>0</v>
      </c>
      <c r="I295" s="39">
        <f t="shared" ref="I295" si="935">SUM(J295:O295)</f>
        <v>0</v>
      </c>
      <c r="J295" s="39">
        <v>0</v>
      </c>
      <c r="K295" s="39">
        <v>0</v>
      </c>
      <c r="L295" s="39">
        <v>0</v>
      </c>
      <c r="M295" s="39">
        <v>0</v>
      </c>
      <c r="N295" s="39">
        <v>0</v>
      </c>
      <c r="O295" s="39">
        <v>0</v>
      </c>
      <c r="P295" s="39">
        <f t="shared" si="909"/>
        <v>0</v>
      </c>
      <c r="Q295" s="39">
        <v>0</v>
      </c>
      <c r="R295" s="39">
        <v>0</v>
      </c>
      <c r="S295" s="39">
        <v>0</v>
      </c>
      <c r="T295" s="39">
        <v>0</v>
      </c>
      <c r="U295" s="39">
        <f t="shared" si="910"/>
        <v>0</v>
      </c>
      <c r="V295" s="39">
        <v>0</v>
      </c>
      <c r="W295" s="39">
        <v>0</v>
      </c>
      <c r="X295" s="39">
        <v>0</v>
      </c>
      <c r="Y295" s="39">
        <v>0</v>
      </c>
      <c r="Z295" s="39">
        <v>0</v>
      </c>
      <c r="AA295" s="39">
        <v>0</v>
      </c>
      <c r="AB295" s="39">
        <v>0</v>
      </c>
      <c r="AC295" s="39">
        <v>0</v>
      </c>
      <c r="AD295" s="39">
        <v>0</v>
      </c>
      <c r="AE295" s="39">
        <f t="shared" ref="AE295:AE299" si="936">SUM(AF295:BA295)</f>
        <v>0</v>
      </c>
      <c r="AF295" s="39">
        <v>0</v>
      </c>
      <c r="AG295" s="39">
        <v>0</v>
      </c>
      <c r="AH295" s="39">
        <v>0</v>
      </c>
      <c r="AI295" s="39">
        <v>0</v>
      </c>
      <c r="AJ295" s="39">
        <v>0</v>
      </c>
      <c r="AK295" s="39">
        <v>0</v>
      </c>
      <c r="AL295" s="39">
        <v>0</v>
      </c>
      <c r="AM295" s="39">
        <v>0</v>
      </c>
      <c r="AN295" s="39">
        <v>0</v>
      </c>
      <c r="AO295" s="39">
        <v>0</v>
      </c>
      <c r="AP295" s="39">
        <v>0</v>
      </c>
      <c r="AQ295" s="39"/>
      <c r="AR295" s="39">
        <v>0</v>
      </c>
      <c r="AS295" s="39">
        <v>0</v>
      </c>
      <c r="AT295" s="39">
        <v>0</v>
      </c>
      <c r="AU295" s="39">
        <v>0</v>
      </c>
      <c r="AV295" s="39">
        <v>0</v>
      </c>
      <c r="AW295" s="39">
        <v>0</v>
      </c>
      <c r="AX295" s="39">
        <v>0</v>
      </c>
      <c r="AY295" s="39">
        <v>0</v>
      </c>
      <c r="AZ295" s="39">
        <v>0</v>
      </c>
      <c r="BA295" s="39">
        <v>0</v>
      </c>
      <c r="BB295" s="39">
        <f t="shared" ref="BB295:BB299" si="937">SUM(BC295+BG295+BJ295+BL295+BO295)</f>
        <v>419142</v>
      </c>
      <c r="BC295" s="39">
        <f t="shared" ref="BC295" si="938">SUM(BD295:BF295)</f>
        <v>0</v>
      </c>
      <c r="BD295" s="39">
        <v>0</v>
      </c>
      <c r="BE295" s="39">
        <v>0</v>
      </c>
      <c r="BF295" s="39">
        <v>0</v>
      </c>
      <c r="BG295" s="39">
        <f t="shared" ref="BG295:BG299" si="939">SUM(BH295:BI295)</f>
        <v>0</v>
      </c>
      <c r="BH295" s="35"/>
      <c r="BI295" s="39">
        <v>0</v>
      </c>
      <c r="BJ295" s="35">
        <f>9000000-2308001-6272857</f>
        <v>419142</v>
      </c>
      <c r="BK295" s="39">
        <v>0</v>
      </c>
      <c r="BL295" s="39">
        <f t="shared" si="912"/>
        <v>0</v>
      </c>
      <c r="BM295" s="39">
        <v>0</v>
      </c>
      <c r="BN295" s="39">
        <v>0</v>
      </c>
      <c r="BO295" s="39">
        <f t="shared" ref="BO295" si="940">SUM(BP295:BZ295)</f>
        <v>0</v>
      </c>
      <c r="BP295" s="39">
        <v>0</v>
      </c>
      <c r="BQ295" s="39">
        <v>0</v>
      </c>
      <c r="BR295" s="39">
        <v>0</v>
      </c>
      <c r="BS295" s="39">
        <v>0</v>
      </c>
      <c r="BT295" s="39">
        <v>0</v>
      </c>
      <c r="BU295" s="39">
        <v>0</v>
      </c>
      <c r="BV295" s="39">
        <v>0</v>
      </c>
      <c r="BW295" s="39">
        <v>0</v>
      </c>
      <c r="BX295" s="39">
        <v>0</v>
      </c>
      <c r="BY295" s="39">
        <v>0</v>
      </c>
      <c r="BZ295" s="39">
        <v>0</v>
      </c>
      <c r="CA295" s="39">
        <f t="shared" ref="CA295:CA299" si="941">SUM(CB295+CT295)</f>
        <v>0</v>
      </c>
      <c r="CB295" s="39">
        <f t="shared" ref="CB295:CB299" si="942">SUM(CC295+CF295+CL295)</f>
        <v>0</v>
      </c>
      <c r="CC295" s="39">
        <f t="shared" ref="CC295" si="943">SUM(CD295:CE295)</f>
        <v>0</v>
      </c>
      <c r="CD295" s="39">
        <v>0</v>
      </c>
      <c r="CE295" s="39">
        <v>0</v>
      </c>
      <c r="CF295" s="19">
        <f t="shared" ref="CF295:CF299" si="944">SUM(CG295:CK295)</f>
        <v>0</v>
      </c>
      <c r="CG295" s="39">
        <v>0</v>
      </c>
      <c r="CH295" s="39">
        <v>0</v>
      </c>
      <c r="CI295" s="39">
        <v>0</v>
      </c>
      <c r="CJ295" s="39">
        <v>0</v>
      </c>
      <c r="CK295" s="39">
        <v>0</v>
      </c>
      <c r="CL295" s="39">
        <f t="shared" ref="CL295" si="945">SUM(CM295:CQ295)</f>
        <v>0</v>
      </c>
      <c r="CM295" s="39">
        <v>0</v>
      </c>
      <c r="CN295" s="39">
        <v>0</v>
      </c>
      <c r="CO295" s="39">
        <v>0</v>
      </c>
      <c r="CP295" s="39"/>
      <c r="CQ295" s="39"/>
      <c r="CR295" s="39"/>
      <c r="CS295" s="39"/>
      <c r="CT295" s="39">
        <v>0</v>
      </c>
      <c r="CU295" s="39"/>
      <c r="CV295" s="39"/>
      <c r="CW295" s="39"/>
      <c r="CX295" s="39">
        <f t="shared" ref="CX295" si="946">SUM(CY295)</f>
        <v>0</v>
      </c>
      <c r="CY295" s="39">
        <f t="shared" si="918"/>
        <v>0</v>
      </c>
      <c r="CZ295" s="39">
        <v>0</v>
      </c>
      <c r="DA295" s="41">
        <v>0</v>
      </c>
    </row>
    <row r="296" spans="1:106" s="84" customFormat="1" ht="15.75" x14ac:dyDescent="0.25">
      <c r="A296" s="74" t="s">
        <v>1</v>
      </c>
      <c r="B296" s="42" t="s">
        <v>335</v>
      </c>
      <c r="C296" s="43" t="s">
        <v>619</v>
      </c>
      <c r="D296" s="38">
        <f t="shared" si="905"/>
        <v>3773614</v>
      </c>
      <c r="E296" s="39">
        <f t="shared" si="906"/>
        <v>3773614</v>
      </c>
      <c r="F296" s="39">
        <f t="shared" si="907"/>
        <v>0</v>
      </c>
      <c r="G296" s="39">
        <v>0</v>
      </c>
      <c r="H296" s="39">
        <v>0</v>
      </c>
      <c r="I296" s="39">
        <f t="shared" ref="I296:I299" si="947">SUM(J296:O296)</f>
        <v>0</v>
      </c>
      <c r="J296" s="39">
        <v>0</v>
      </c>
      <c r="K296" s="39">
        <v>0</v>
      </c>
      <c r="L296" s="39">
        <v>0</v>
      </c>
      <c r="M296" s="39">
        <v>0</v>
      </c>
      <c r="N296" s="39">
        <v>0</v>
      </c>
      <c r="O296" s="39">
        <v>0</v>
      </c>
      <c r="P296" s="39">
        <f t="shared" si="909"/>
        <v>0</v>
      </c>
      <c r="Q296" s="39">
        <v>0</v>
      </c>
      <c r="R296" s="39">
        <v>0</v>
      </c>
      <c r="S296" s="39">
        <v>0</v>
      </c>
      <c r="T296" s="39">
        <v>0</v>
      </c>
      <c r="U296" s="39">
        <f t="shared" si="910"/>
        <v>0</v>
      </c>
      <c r="V296" s="39">
        <v>0</v>
      </c>
      <c r="W296" s="39">
        <v>0</v>
      </c>
      <c r="X296" s="39">
        <v>0</v>
      </c>
      <c r="Y296" s="39">
        <v>0</v>
      </c>
      <c r="Z296" s="39">
        <v>0</v>
      </c>
      <c r="AA296" s="39">
        <v>0</v>
      </c>
      <c r="AB296" s="39">
        <v>0</v>
      </c>
      <c r="AC296" s="39">
        <v>0</v>
      </c>
      <c r="AD296" s="39">
        <v>0</v>
      </c>
      <c r="AE296" s="39">
        <f t="shared" si="936"/>
        <v>0</v>
      </c>
      <c r="AF296" s="39">
        <v>0</v>
      </c>
      <c r="AG296" s="39">
        <v>0</v>
      </c>
      <c r="AH296" s="39">
        <v>0</v>
      </c>
      <c r="AI296" s="39">
        <v>0</v>
      </c>
      <c r="AJ296" s="39">
        <v>0</v>
      </c>
      <c r="AK296" s="39">
        <v>0</v>
      </c>
      <c r="AL296" s="39">
        <v>0</v>
      </c>
      <c r="AM296" s="39">
        <v>0</v>
      </c>
      <c r="AN296" s="39">
        <v>0</v>
      </c>
      <c r="AO296" s="39">
        <v>0</v>
      </c>
      <c r="AP296" s="39">
        <v>0</v>
      </c>
      <c r="AQ296" s="39"/>
      <c r="AR296" s="39">
        <v>0</v>
      </c>
      <c r="AS296" s="39">
        <v>0</v>
      </c>
      <c r="AT296" s="39">
        <v>0</v>
      </c>
      <c r="AU296" s="39">
        <v>0</v>
      </c>
      <c r="AV296" s="39">
        <v>0</v>
      </c>
      <c r="AW296" s="39">
        <v>0</v>
      </c>
      <c r="AX296" s="39">
        <v>0</v>
      </c>
      <c r="AY296" s="39">
        <v>0</v>
      </c>
      <c r="AZ296" s="39">
        <v>0</v>
      </c>
      <c r="BA296" s="39">
        <v>0</v>
      </c>
      <c r="BB296" s="39">
        <f t="shared" si="937"/>
        <v>3773614</v>
      </c>
      <c r="BC296" s="39">
        <f t="shared" ref="BC296:BC299" si="948">SUM(BD296:BF296)</f>
        <v>0</v>
      </c>
      <c r="BD296" s="39">
        <v>0</v>
      </c>
      <c r="BE296" s="39">
        <v>0</v>
      </c>
      <c r="BF296" s="39">
        <v>0</v>
      </c>
      <c r="BG296" s="39">
        <f t="shared" si="939"/>
        <v>0</v>
      </c>
      <c r="BH296" s="35"/>
      <c r="BI296" s="39">
        <v>0</v>
      </c>
      <c r="BJ296" s="35">
        <f>0+683614+3090000</f>
        <v>3773614</v>
      </c>
      <c r="BK296" s="39">
        <v>0</v>
      </c>
      <c r="BL296" s="39">
        <f t="shared" si="912"/>
        <v>0</v>
      </c>
      <c r="BM296" s="39">
        <v>0</v>
      </c>
      <c r="BN296" s="39">
        <v>0</v>
      </c>
      <c r="BO296" s="39">
        <f t="shared" ref="BO296:BO299" si="949">SUM(BP296:BZ296)</f>
        <v>0</v>
      </c>
      <c r="BP296" s="39">
        <v>0</v>
      </c>
      <c r="BQ296" s="39">
        <v>0</v>
      </c>
      <c r="BR296" s="39">
        <v>0</v>
      </c>
      <c r="BS296" s="39">
        <v>0</v>
      </c>
      <c r="BT296" s="39">
        <v>0</v>
      </c>
      <c r="BU296" s="39">
        <v>0</v>
      </c>
      <c r="BV296" s="39">
        <v>0</v>
      </c>
      <c r="BW296" s="39">
        <v>0</v>
      </c>
      <c r="BX296" s="39">
        <v>0</v>
      </c>
      <c r="BY296" s="39">
        <v>0</v>
      </c>
      <c r="BZ296" s="39">
        <v>0</v>
      </c>
      <c r="CA296" s="39">
        <f t="shared" si="941"/>
        <v>0</v>
      </c>
      <c r="CB296" s="39">
        <f t="shared" si="942"/>
        <v>0</v>
      </c>
      <c r="CC296" s="39">
        <f t="shared" ref="CC296:CC299" si="950">SUM(CD296:CE296)</f>
        <v>0</v>
      </c>
      <c r="CD296" s="39">
        <v>0</v>
      </c>
      <c r="CE296" s="39">
        <v>0</v>
      </c>
      <c r="CF296" s="19">
        <f t="shared" si="944"/>
        <v>0</v>
      </c>
      <c r="CG296" s="39">
        <v>0</v>
      </c>
      <c r="CH296" s="39">
        <v>0</v>
      </c>
      <c r="CI296" s="39">
        <v>0</v>
      </c>
      <c r="CJ296" s="39">
        <v>0</v>
      </c>
      <c r="CK296" s="39">
        <v>0</v>
      </c>
      <c r="CL296" s="39">
        <f t="shared" ref="CL296:CL299" si="951">SUM(CM296:CQ296)</f>
        <v>0</v>
      </c>
      <c r="CM296" s="39">
        <v>0</v>
      </c>
      <c r="CN296" s="39">
        <v>0</v>
      </c>
      <c r="CO296" s="39">
        <v>0</v>
      </c>
      <c r="CP296" s="39"/>
      <c r="CQ296" s="39"/>
      <c r="CR296" s="39"/>
      <c r="CS296" s="39"/>
      <c r="CT296" s="39">
        <v>0</v>
      </c>
      <c r="CU296" s="39"/>
      <c r="CV296" s="39"/>
      <c r="CW296" s="39"/>
      <c r="CX296" s="39">
        <f t="shared" ref="CX296:CX299" si="952">SUM(CY296)</f>
        <v>0</v>
      </c>
      <c r="CY296" s="39">
        <f t="shared" si="918"/>
        <v>0</v>
      </c>
      <c r="CZ296" s="39">
        <v>0</v>
      </c>
      <c r="DA296" s="41">
        <v>0</v>
      </c>
    </row>
    <row r="297" spans="1:106" s="84" customFormat="1" ht="31.5" x14ac:dyDescent="0.25">
      <c r="A297" s="74" t="s">
        <v>1</v>
      </c>
      <c r="B297" s="42" t="s">
        <v>335</v>
      </c>
      <c r="C297" s="43" t="s">
        <v>629</v>
      </c>
      <c r="D297" s="38">
        <f t="shared" si="905"/>
        <v>1009913</v>
      </c>
      <c r="E297" s="39">
        <f t="shared" si="906"/>
        <v>1009913</v>
      </c>
      <c r="F297" s="39">
        <f t="shared" si="907"/>
        <v>0</v>
      </c>
      <c r="G297" s="39">
        <v>0</v>
      </c>
      <c r="H297" s="39">
        <v>0</v>
      </c>
      <c r="I297" s="39">
        <f t="shared" si="947"/>
        <v>0</v>
      </c>
      <c r="J297" s="39">
        <v>0</v>
      </c>
      <c r="K297" s="39">
        <v>0</v>
      </c>
      <c r="L297" s="39">
        <v>0</v>
      </c>
      <c r="M297" s="39">
        <v>0</v>
      </c>
      <c r="N297" s="39">
        <v>0</v>
      </c>
      <c r="O297" s="39">
        <v>0</v>
      </c>
      <c r="P297" s="39">
        <f t="shared" si="909"/>
        <v>0</v>
      </c>
      <c r="Q297" s="39">
        <v>0</v>
      </c>
      <c r="R297" s="39">
        <v>0</v>
      </c>
      <c r="S297" s="39">
        <v>0</v>
      </c>
      <c r="T297" s="39">
        <v>0</v>
      </c>
      <c r="U297" s="39">
        <f t="shared" si="910"/>
        <v>0</v>
      </c>
      <c r="V297" s="39">
        <v>0</v>
      </c>
      <c r="W297" s="39">
        <v>0</v>
      </c>
      <c r="X297" s="39">
        <v>0</v>
      </c>
      <c r="Y297" s="39">
        <v>0</v>
      </c>
      <c r="Z297" s="39">
        <v>0</v>
      </c>
      <c r="AA297" s="39">
        <v>0</v>
      </c>
      <c r="AB297" s="39">
        <v>0</v>
      </c>
      <c r="AC297" s="39">
        <v>0</v>
      </c>
      <c r="AD297" s="39">
        <v>0</v>
      </c>
      <c r="AE297" s="39">
        <f t="shared" si="936"/>
        <v>0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0</v>
      </c>
      <c r="AL297" s="39">
        <v>0</v>
      </c>
      <c r="AM297" s="39">
        <v>0</v>
      </c>
      <c r="AN297" s="39">
        <v>0</v>
      </c>
      <c r="AO297" s="39">
        <v>0</v>
      </c>
      <c r="AP297" s="39">
        <v>0</v>
      </c>
      <c r="AQ297" s="39"/>
      <c r="AR297" s="39">
        <v>0</v>
      </c>
      <c r="AS297" s="39">
        <v>0</v>
      </c>
      <c r="AT297" s="39">
        <v>0</v>
      </c>
      <c r="AU297" s="39">
        <v>0</v>
      </c>
      <c r="AV297" s="39">
        <v>0</v>
      </c>
      <c r="AW297" s="39">
        <v>0</v>
      </c>
      <c r="AX297" s="39">
        <v>0</v>
      </c>
      <c r="AY297" s="39">
        <v>0</v>
      </c>
      <c r="AZ297" s="39">
        <v>0</v>
      </c>
      <c r="BA297" s="39">
        <v>0</v>
      </c>
      <c r="BB297" s="39">
        <f t="shared" si="937"/>
        <v>1009913</v>
      </c>
      <c r="BC297" s="39">
        <f t="shared" si="948"/>
        <v>0</v>
      </c>
      <c r="BD297" s="39">
        <v>0</v>
      </c>
      <c r="BE297" s="39">
        <v>0</v>
      </c>
      <c r="BF297" s="39">
        <v>0</v>
      </c>
      <c r="BG297" s="39">
        <f t="shared" si="939"/>
        <v>0</v>
      </c>
      <c r="BH297" s="35"/>
      <c r="BI297" s="39">
        <v>0</v>
      </c>
      <c r="BJ297" s="35">
        <f>0+309913+650000+50000</f>
        <v>1009913</v>
      </c>
      <c r="BK297" s="39">
        <v>0</v>
      </c>
      <c r="BL297" s="39">
        <f t="shared" si="912"/>
        <v>0</v>
      </c>
      <c r="BM297" s="39">
        <v>0</v>
      </c>
      <c r="BN297" s="39">
        <v>0</v>
      </c>
      <c r="BO297" s="39">
        <f t="shared" si="949"/>
        <v>0</v>
      </c>
      <c r="BP297" s="39">
        <v>0</v>
      </c>
      <c r="BQ297" s="39">
        <v>0</v>
      </c>
      <c r="BR297" s="39">
        <v>0</v>
      </c>
      <c r="BS297" s="39">
        <v>0</v>
      </c>
      <c r="BT297" s="39">
        <v>0</v>
      </c>
      <c r="BU297" s="39">
        <v>0</v>
      </c>
      <c r="BV297" s="39">
        <v>0</v>
      </c>
      <c r="BW297" s="39">
        <v>0</v>
      </c>
      <c r="BX297" s="39">
        <v>0</v>
      </c>
      <c r="BY297" s="39">
        <v>0</v>
      </c>
      <c r="BZ297" s="39">
        <v>0</v>
      </c>
      <c r="CA297" s="39">
        <f t="shared" si="941"/>
        <v>0</v>
      </c>
      <c r="CB297" s="39">
        <f t="shared" si="942"/>
        <v>0</v>
      </c>
      <c r="CC297" s="39">
        <f t="shared" si="950"/>
        <v>0</v>
      </c>
      <c r="CD297" s="39">
        <v>0</v>
      </c>
      <c r="CE297" s="39">
        <v>0</v>
      </c>
      <c r="CF297" s="19">
        <f t="shared" si="944"/>
        <v>0</v>
      </c>
      <c r="CG297" s="39">
        <v>0</v>
      </c>
      <c r="CH297" s="39">
        <v>0</v>
      </c>
      <c r="CI297" s="39">
        <v>0</v>
      </c>
      <c r="CJ297" s="39">
        <v>0</v>
      </c>
      <c r="CK297" s="39">
        <v>0</v>
      </c>
      <c r="CL297" s="39">
        <f t="shared" si="951"/>
        <v>0</v>
      </c>
      <c r="CM297" s="39">
        <v>0</v>
      </c>
      <c r="CN297" s="39">
        <v>0</v>
      </c>
      <c r="CO297" s="39">
        <v>0</v>
      </c>
      <c r="CP297" s="39"/>
      <c r="CQ297" s="39"/>
      <c r="CR297" s="39"/>
      <c r="CS297" s="39"/>
      <c r="CT297" s="39">
        <v>0</v>
      </c>
      <c r="CU297" s="39"/>
      <c r="CV297" s="39"/>
      <c r="CW297" s="39"/>
      <c r="CX297" s="39">
        <f t="shared" si="952"/>
        <v>0</v>
      </c>
      <c r="CY297" s="39">
        <f t="shared" si="918"/>
        <v>0</v>
      </c>
      <c r="CZ297" s="39">
        <v>0</v>
      </c>
      <c r="DA297" s="41">
        <v>0</v>
      </c>
    </row>
    <row r="298" spans="1:106" s="84" customFormat="1" ht="31.5" x14ac:dyDescent="0.25">
      <c r="A298" s="74" t="s">
        <v>1</v>
      </c>
      <c r="B298" s="42" t="s">
        <v>335</v>
      </c>
      <c r="C298" s="43" t="s">
        <v>630</v>
      </c>
      <c r="D298" s="38">
        <f t="shared" si="905"/>
        <v>76123</v>
      </c>
      <c r="E298" s="39">
        <f t="shared" si="906"/>
        <v>76123</v>
      </c>
      <c r="F298" s="39">
        <f t="shared" si="907"/>
        <v>0</v>
      </c>
      <c r="G298" s="39">
        <v>0</v>
      </c>
      <c r="H298" s="39">
        <v>0</v>
      </c>
      <c r="I298" s="39">
        <f t="shared" si="947"/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39">
        <f t="shared" si="909"/>
        <v>0</v>
      </c>
      <c r="Q298" s="39">
        <v>0</v>
      </c>
      <c r="R298" s="39">
        <v>0</v>
      </c>
      <c r="S298" s="39">
        <v>0</v>
      </c>
      <c r="T298" s="39">
        <v>0</v>
      </c>
      <c r="U298" s="39">
        <f t="shared" si="910"/>
        <v>0</v>
      </c>
      <c r="V298" s="39">
        <v>0</v>
      </c>
      <c r="W298" s="39">
        <v>0</v>
      </c>
      <c r="X298" s="39">
        <v>0</v>
      </c>
      <c r="Y298" s="39">
        <v>0</v>
      </c>
      <c r="Z298" s="39">
        <v>0</v>
      </c>
      <c r="AA298" s="39">
        <v>0</v>
      </c>
      <c r="AB298" s="39">
        <v>0</v>
      </c>
      <c r="AC298" s="39">
        <v>0</v>
      </c>
      <c r="AD298" s="39">
        <v>0</v>
      </c>
      <c r="AE298" s="39">
        <f t="shared" si="936"/>
        <v>0</v>
      </c>
      <c r="AF298" s="39">
        <v>0</v>
      </c>
      <c r="AG298" s="39">
        <v>0</v>
      </c>
      <c r="AH298" s="39">
        <v>0</v>
      </c>
      <c r="AI298" s="39">
        <v>0</v>
      </c>
      <c r="AJ298" s="39">
        <v>0</v>
      </c>
      <c r="AK298" s="39">
        <v>0</v>
      </c>
      <c r="AL298" s="39">
        <v>0</v>
      </c>
      <c r="AM298" s="39">
        <v>0</v>
      </c>
      <c r="AN298" s="39">
        <v>0</v>
      </c>
      <c r="AO298" s="39">
        <v>0</v>
      </c>
      <c r="AP298" s="39">
        <v>0</v>
      </c>
      <c r="AQ298" s="39"/>
      <c r="AR298" s="39">
        <v>0</v>
      </c>
      <c r="AS298" s="39">
        <v>0</v>
      </c>
      <c r="AT298" s="39">
        <v>0</v>
      </c>
      <c r="AU298" s="39">
        <v>0</v>
      </c>
      <c r="AV298" s="39">
        <v>0</v>
      </c>
      <c r="AW298" s="39">
        <v>0</v>
      </c>
      <c r="AX298" s="39">
        <v>0</v>
      </c>
      <c r="AY298" s="39">
        <v>0</v>
      </c>
      <c r="AZ298" s="39">
        <v>0</v>
      </c>
      <c r="BA298" s="39">
        <v>0</v>
      </c>
      <c r="BB298" s="39">
        <f t="shared" si="937"/>
        <v>76123</v>
      </c>
      <c r="BC298" s="39">
        <f t="shared" si="948"/>
        <v>0</v>
      </c>
      <c r="BD298" s="39">
        <v>0</v>
      </c>
      <c r="BE298" s="39">
        <v>0</v>
      </c>
      <c r="BF298" s="39">
        <v>0</v>
      </c>
      <c r="BG298" s="39">
        <f t="shared" si="939"/>
        <v>0</v>
      </c>
      <c r="BH298" s="35"/>
      <c r="BI298" s="39">
        <v>0</v>
      </c>
      <c r="BJ298" s="35">
        <f>0+76123</f>
        <v>76123</v>
      </c>
      <c r="BK298" s="39">
        <v>0</v>
      </c>
      <c r="BL298" s="39">
        <f t="shared" si="912"/>
        <v>0</v>
      </c>
      <c r="BM298" s="39">
        <v>0</v>
      </c>
      <c r="BN298" s="39">
        <v>0</v>
      </c>
      <c r="BO298" s="39">
        <f t="shared" si="949"/>
        <v>0</v>
      </c>
      <c r="BP298" s="39">
        <v>0</v>
      </c>
      <c r="BQ298" s="39">
        <v>0</v>
      </c>
      <c r="BR298" s="39">
        <v>0</v>
      </c>
      <c r="BS298" s="39">
        <v>0</v>
      </c>
      <c r="BT298" s="39">
        <v>0</v>
      </c>
      <c r="BU298" s="39">
        <v>0</v>
      </c>
      <c r="BV298" s="39">
        <v>0</v>
      </c>
      <c r="BW298" s="39">
        <v>0</v>
      </c>
      <c r="BX298" s="39">
        <v>0</v>
      </c>
      <c r="BY298" s="39">
        <v>0</v>
      </c>
      <c r="BZ298" s="39">
        <v>0</v>
      </c>
      <c r="CA298" s="39">
        <f t="shared" si="941"/>
        <v>0</v>
      </c>
      <c r="CB298" s="39">
        <f t="shared" si="942"/>
        <v>0</v>
      </c>
      <c r="CC298" s="39">
        <f t="shared" si="950"/>
        <v>0</v>
      </c>
      <c r="CD298" s="39">
        <v>0</v>
      </c>
      <c r="CE298" s="39">
        <v>0</v>
      </c>
      <c r="CF298" s="19">
        <f t="shared" si="944"/>
        <v>0</v>
      </c>
      <c r="CG298" s="39">
        <v>0</v>
      </c>
      <c r="CH298" s="39">
        <v>0</v>
      </c>
      <c r="CI298" s="39">
        <v>0</v>
      </c>
      <c r="CJ298" s="39">
        <v>0</v>
      </c>
      <c r="CK298" s="39">
        <v>0</v>
      </c>
      <c r="CL298" s="39">
        <f t="shared" si="951"/>
        <v>0</v>
      </c>
      <c r="CM298" s="39">
        <v>0</v>
      </c>
      <c r="CN298" s="39">
        <v>0</v>
      </c>
      <c r="CO298" s="39">
        <v>0</v>
      </c>
      <c r="CP298" s="39"/>
      <c r="CQ298" s="39"/>
      <c r="CR298" s="39"/>
      <c r="CS298" s="39"/>
      <c r="CT298" s="39">
        <v>0</v>
      </c>
      <c r="CU298" s="39"/>
      <c r="CV298" s="39"/>
      <c r="CW298" s="39"/>
      <c r="CX298" s="39">
        <f t="shared" si="952"/>
        <v>0</v>
      </c>
      <c r="CY298" s="39">
        <f t="shared" si="918"/>
        <v>0</v>
      </c>
      <c r="CZ298" s="39">
        <v>0</v>
      </c>
      <c r="DA298" s="41">
        <v>0</v>
      </c>
    </row>
    <row r="299" spans="1:106" s="84" customFormat="1" ht="31.5" x14ac:dyDescent="0.25">
      <c r="A299" s="74" t="s">
        <v>1</v>
      </c>
      <c r="B299" s="42" t="s">
        <v>335</v>
      </c>
      <c r="C299" s="43" t="s">
        <v>631</v>
      </c>
      <c r="D299" s="38">
        <f t="shared" si="905"/>
        <v>2238783</v>
      </c>
      <c r="E299" s="39">
        <f t="shared" si="906"/>
        <v>2238783</v>
      </c>
      <c r="F299" s="39">
        <f t="shared" si="907"/>
        <v>0</v>
      </c>
      <c r="G299" s="39">
        <v>0</v>
      </c>
      <c r="H299" s="39">
        <v>0</v>
      </c>
      <c r="I299" s="39">
        <f t="shared" si="947"/>
        <v>0</v>
      </c>
      <c r="J299" s="39">
        <v>0</v>
      </c>
      <c r="K299" s="39">
        <v>0</v>
      </c>
      <c r="L299" s="39">
        <v>0</v>
      </c>
      <c r="M299" s="39">
        <v>0</v>
      </c>
      <c r="N299" s="39">
        <v>0</v>
      </c>
      <c r="O299" s="39">
        <v>0</v>
      </c>
      <c r="P299" s="39">
        <f t="shared" si="909"/>
        <v>0</v>
      </c>
      <c r="Q299" s="39">
        <v>0</v>
      </c>
      <c r="R299" s="39">
        <v>0</v>
      </c>
      <c r="S299" s="39">
        <v>0</v>
      </c>
      <c r="T299" s="39">
        <v>0</v>
      </c>
      <c r="U299" s="39">
        <f t="shared" si="910"/>
        <v>0</v>
      </c>
      <c r="V299" s="39">
        <v>0</v>
      </c>
      <c r="W299" s="39">
        <v>0</v>
      </c>
      <c r="X299" s="39">
        <v>0</v>
      </c>
      <c r="Y299" s="39">
        <v>0</v>
      </c>
      <c r="Z299" s="39">
        <v>0</v>
      </c>
      <c r="AA299" s="39">
        <v>0</v>
      </c>
      <c r="AB299" s="39">
        <v>0</v>
      </c>
      <c r="AC299" s="39">
        <v>0</v>
      </c>
      <c r="AD299" s="39">
        <v>0</v>
      </c>
      <c r="AE299" s="39">
        <f t="shared" si="936"/>
        <v>0</v>
      </c>
      <c r="AF299" s="39">
        <v>0</v>
      </c>
      <c r="AG299" s="39">
        <v>0</v>
      </c>
      <c r="AH299" s="39">
        <v>0</v>
      </c>
      <c r="AI299" s="39">
        <v>0</v>
      </c>
      <c r="AJ299" s="39">
        <v>0</v>
      </c>
      <c r="AK299" s="39">
        <v>0</v>
      </c>
      <c r="AL299" s="39">
        <v>0</v>
      </c>
      <c r="AM299" s="39">
        <v>0</v>
      </c>
      <c r="AN299" s="39">
        <v>0</v>
      </c>
      <c r="AO299" s="39">
        <v>0</v>
      </c>
      <c r="AP299" s="39">
        <v>0</v>
      </c>
      <c r="AQ299" s="39"/>
      <c r="AR299" s="39">
        <v>0</v>
      </c>
      <c r="AS299" s="39">
        <v>0</v>
      </c>
      <c r="AT299" s="39">
        <v>0</v>
      </c>
      <c r="AU299" s="39">
        <v>0</v>
      </c>
      <c r="AV299" s="39">
        <v>0</v>
      </c>
      <c r="AW299" s="39">
        <v>0</v>
      </c>
      <c r="AX299" s="39">
        <v>0</v>
      </c>
      <c r="AY299" s="39">
        <v>0</v>
      </c>
      <c r="AZ299" s="39">
        <v>0</v>
      </c>
      <c r="BA299" s="39">
        <v>0</v>
      </c>
      <c r="BB299" s="39">
        <f t="shared" si="937"/>
        <v>2238783</v>
      </c>
      <c r="BC299" s="39">
        <f t="shared" si="948"/>
        <v>0</v>
      </c>
      <c r="BD299" s="39">
        <v>0</v>
      </c>
      <c r="BE299" s="39">
        <v>0</v>
      </c>
      <c r="BF299" s="39">
        <v>0</v>
      </c>
      <c r="BG299" s="39">
        <f t="shared" si="939"/>
        <v>0</v>
      </c>
      <c r="BH299" s="35"/>
      <c r="BI299" s="39">
        <v>0</v>
      </c>
      <c r="BJ299" s="35">
        <f>0+490960+1747823</f>
        <v>2238783</v>
      </c>
      <c r="BK299" s="39">
        <v>0</v>
      </c>
      <c r="BL299" s="39">
        <f t="shared" si="912"/>
        <v>0</v>
      </c>
      <c r="BM299" s="39">
        <v>0</v>
      </c>
      <c r="BN299" s="39">
        <v>0</v>
      </c>
      <c r="BO299" s="39">
        <f t="shared" si="949"/>
        <v>0</v>
      </c>
      <c r="BP299" s="39">
        <v>0</v>
      </c>
      <c r="BQ299" s="39">
        <v>0</v>
      </c>
      <c r="BR299" s="39">
        <v>0</v>
      </c>
      <c r="BS299" s="39">
        <v>0</v>
      </c>
      <c r="BT299" s="39">
        <v>0</v>
      </c>
      <c r="BU299" s="39">
        <v>0</v>
      </c>
      <c r="BV299" s="39">
        <v>0</v>
      </c>
      <c r="BW299" s="39">
        <v>0</v>
      </c>
      <c r="BX299" s="39">
        <v>0</v>
      </c>
      <c r="BY299" s="39">
        <v>0</v>
      </c>
      <c r="BZ299" s="39">
        <v>0</v>
      </c>
      <c r="CA299" s="39">
        <f t="shared" si="941"/>
        <v>0</v>
      </c>
      <c r="CB299" s="39">
        <f t="shared" si="942"/>
        <v>0</v>
      </c>
      <c r="CC299" s="39">
        <f t="shared" si="950"/>
        <v>0</v>
      </c>
      <c r="CD299" s="39">
        <v>0</v>
      </c>
      <c r="CE299" s="39">
        <v>0</v>
      </c>
      <c r="CF299" s="19">
        <f t="shared" si="944"/>
        <v>0</v>
      </c>
      <c r="CG299" s="39">
        <v>0</v>
      </c>
      <c r="CH299" s="39">
        <v>0</v>
      </c>
      <c r="CI299" s="39">
        <v>0</v>
      </c>
      <c r="CJ299" s="39">
        <v>0</v>
      </c>
      <c r="CK299" s="39">
        <v>0</v>
      </c>
      <c r="CL299" s="39">
        <f t="shared" si="951"/>
        <v>0</v>
      </c>
      <c r="CM299" s="39">
        <v>0</v>
      </c>
      <c r="CN299" s="39">
        <v>0</v>
      </c>
      <c r="CO299" s="39">
        <v>0</v>
      </c>
      <c r="CP299" s="39"/>
      <c r="CQ299" s="39"/>
      <c r="CR299" s="39"/>
      <c r="CS299" s="39"/>
      <c r="CT299" s="39">
        <v>0</v>
      </c>
      <c r="CU299" s="39"/>
      <c r="CV299" s="39"/>
      <c r="CW299" s="39"/>
      <c r="CX299" s="39">
        <f t="shared" si="952"/>
        <v>0</v>
      </c>
      <c r="CY299" s="39">
        <f t="shared" si="918"/>
        <v>0</v>
      </c>
      <c r="CZ299" s="39">
        <v>0</v>
      </c>
      <c r="DA299" s="41">
        <v>0</v>
      </c>
    </row>
    <row r="300" spans="1:106" s="84" customFormat="1" ht="15.75" x14ac:dyDescent="0.25">
      <c r="A300" s="74" t="s">
        <v>1</v>
      </c>
      <c r="B300" s="42" t="s">
        <v>335</v>
      </c>
      <c r="C300" s="43" t="s">
        <v>336</v>
      </c>
      <c r="D300" s="38">
        <f t="shared" si="905"/>
        <v>2459400</v>
      </c>
      <c r="E300" s="39">
        <f t="shared" si="906"/>
        <v>2459400</v>
      </c>
      <c r="F300" s="39">
        <f t="shared" si="907"/>
        <v>0</v>
      </c>
      <c r="G300" s="39">
        <v>0</v>
      </c>
      <c r="H300" s="39">
        <v>0</v>
      </c>
      <c r="I300" s="39">
        <f t="shared" ref="I300" si="953">SUM(J300:O300)</f>
        <v>0</v>
      </c>
      <c r="J300" s="39">
        <v>0</v>
      </c>
      <c r="K300" s="39">
        <v>0</v>
      </c>
      <c r="L300" s="39">
        <v>0</v>
      </c>
      <c r="M300" s="39">
        <v>0</v>
      </c>
      <c r="N300" s="39">
        <v>0</v>
      </c>
      <c r="O300" s="39">
        <v>0</v>
      </c>
      <c r="P300" s="39">
        <f t="shared" ref="P300" si="954">SUM(Q300:R300)</f>
        <v>0</v>
      </c>
      <c r="Q300" s="39">
        <v>0</v>
      </c>
      <c r="R300" s="39">
        <v>0</v>
      </c>
      <c r="S300" s="39">
        <v>0</v>
      </c>
      <c r="T300" s="39">
        <v>0</v>
      </c>
      <c r="U300" s="39">
        <f t="shared" ref="U300" si="955">SUM(V300:AC300)</f>
        <v>0</v>
      </c>
      <c r="V300" s="39">
        <v>0</v>
      </c>
      <c r="W300" s="39">
        <v>0</v>
      </c>
      <c r="X300" s="39">
        <v>0</v>
      </c>
      <c r="Y300" s="39">
        <v>0</v>
      </c>
      <c r="Z300" s="39">
        <v>0</v>
      </c>
      <c r="AA300" s="39">
        <v>0</v>
      </c>
      <c r="AB300" s="39">
        <v>0</v>
      </c>
      <c r="AC300" s="39">
        <v>0</v>
      </c>
      <c r="AD300" s="39">
        <v>0</v>
      </c>
      <c r="AE300" s="39">
        <f>SUM(AF300:BA300)</f>
        <v>0</v>
      </c>
      <c r="AF300" s="39">
        <v>0</v>
      </c>
      <c r="AG300" s="39">
        <v>0</v>
      </c>
      <c r="AH300" s="39">
        <v>0</v>
      </c>
      <c r="AI300" s="39">
        <v>0</v>
      </c>
      <c r="AJ300" s="39">
        <v>0</v>
      </c>
      <c r="AK300" s="39">
        <v>0</v>
      </c>
      <c r="AL300" s="39">
        <v>0</v>
      </c>
      <c r="AM300" s="39">
        <v>0</v>
      </c>
      <c r="AN300" s="39">
        <v>0</v>
      </c>
      <c r="AO300" s="39">
        <v>0</v>
      </c>
      <c r="AP300" s="39">
        <v>0</v>
      </c>
      <c r="AQ300" s="39"/>
      <c r="AR300" s="39">
        <v>0</v>
      </c>
      <c r="AS300" s="39">
        <v>0</v>
      </c>
      <c r="AT300" s="39">
        <v>0</v>
      </c>
      <c r="AU300" s="39">
        <v>0</v>
      </c>
      <c r="AV300" s="39">
        <v>0</v>
      </c>
      <c r="AW300" s="39">
        <v>0</v>
      </c>
      <c r="AX300" s="39">
        <v>0</v>
      </c>
      <c r="AY300" s="39">
        <v>0</v>
      </c>
      <c r="AZ300" s="39">
        <v>0</v>
      </c>
      <c r="BA300" s="39"/>
      <c r="BB300" s="39">
        <f>SUM(BC300+BG300+BJ300+BL300+BO300)</f>
        <v>2459400</v>
      </c>
      <c r="BC300" s="39">
        <f t="shared" si="911"/>
        <v>0</v>
      </c>
      <c r="BD300" s="39">
        <v>0</v>
      </c>
      <c r="BE300" s="39">
        <v>0</v>
      </c>
      <c r="BF300" s="39">
        <v>0</v>
      </c>
      <c r="BG300" s="39">
        <f>SUM(BH300:BI300)</f>
        <v>2459400</v>
      </c>
      <c r="BH300" s="35">
        <f>1509400+150000+800000</f>
        <v>2459400</v>
      </c>
      <c r="BI300" s="39">
        <v>0</v>
      </c>
      <c r="BJ300" s="35">
        <v>0</v>
      </c>
      <c r="BK300" s="39">
        <v>0</v>
      </c>
      <c r="BL300" s="39">
        <f t="shared" ref="BL300:BL301" si="956">SUM(BM300)</f>
        <v>0</v>
      </c>
      <c r="BM300" s="39">
        <v>0</v>
      </c>
      <c r="BN300" s="39">
        <v>0</v>
      </c>
      <c r="BO300" s="39">
        <f t="shared" si="913"/>
        <v>0</v>
      </c>
      <c r="BP300" s="39">
        <v>0</v>
      </c>
      <c r="BQ300" s="39">
        <v>0</v>
      </c>
      <c r="BR300" s="39">
        <v>0</v>
      </c>
      <c r="BS300" s="39">
        <v>0</v>
      </c>
      <c r="BT300" s="39">
        <v>0</v>
      </c>
      <c r="BU300" s="39">
        <v>0</v>
      </c>
      <c r="BV300" s="39">
        <v>0</v>
      </c>
      <c r="BW300" s="39">
        <v>0</v>
      </c>
      <c r="BX300" s="39">
        <v>0</v>
      </c>
      <c r="BY300" s="39">
        <v>0</v>
      </c>
      <c r="BZ300" s="39">
        <v>0</v>
      </c>
      <c r="CA300" s="39">
        <f t="shared" si="914"/>
        <v>0</v>
      </c>
      <c r="CB300" s="39">
        <f>SUM(CC300+CF300+CL300)</f>
        <v>0</v>
      </c>
      <c r="CC300" s="39">
        <f t="shared" ref="CC300" si="957">SUM(CD300:CE300)</f>
        <v>0</v>
      </c>
      <c r="CD300" s="39">
        <v>0</v>
      </c>
      <c r="CE300" s="39">
        <v>0</v>
      </c>
      <c r="CF300" s="19">
        <f>SUM(CG300:CK300)</f>
        <v>0</v>
      </c>
      <c r="CG300" s="39">
        <v>0</v>
      </c>
      <c r="CH300" s="39">
        <v>0</v>
      </c>
      <c r="CI300" s="39">
        <v>0</v>
      </c>
      <c r="CJ300" s="39">
        <v>0</v>
      </c>
      <c r="CK300" s="39">
        <v>0</v>
      </c>
      <c r="CL300" s="39">
        <f t="shared" si="916"/>
        <v>0</v>
      </c>
      <c r="CM300" s="39">
        <v>0</v>
      </c>
      <c r="CN300" s="39">
        <v>0</v>
      </c>
      <c r="CO300" s="39">
        <v>0</v>
      </c>
      <c r="CP300" s="39"/>
      <c r="CQ300" s="39"/>
      <c r="CR300" s="39"/>
      <c r="CS300" s="39"/>
      <c r="CT300" s="39">
        <v>0</v>
      </c>
      <c r="CU300" s="39"/>
      <c r="CV300" s="39"/>
      <c r="CW300" s="39"/>
      <c r="CX300" s="39">
        <f t="shared" ref="CX300" si="958">SUM(CY300)</f>
        <v>0</v>
      </c>
      <c r="CY300" s="39">
        <f t="shared" ref="CY300" si="959">SUM(CZ300:DA300)</f>
        <v>0</v>
      </c>
      <c r="CZ300" s="39">
        <v>0</v>
      </c>
      <c r="DA300" s="41">
        <v>0</v>
      </c>
    </row>
    <row r="301" spans="1:106" s="84" customFormat="1" ht="15.75" x14ac:dyDescent="0.25">
      <c r="A301" s="74" t="s">
        <v>1</v>
      </c>
      <c r="B301" s="42" t="s">
        <v>335</v>
      </c>
      <c r="C301" s="43" t="s">
        <v>337</v>
      </c>
      <c r="D301" s="38">
        <f t="shared" si="905"/>
        <v>224307720</v>
      </c>
      <c r="E301" s="39">
        <f t="shared" si="906"/>
        <v>224307720</v>
      </c>
      <c r="F301" s="39">
        <f t="shared" si="907"/>
        <v>0</v>
      </c>
      <c r="G301" s="39"/>
      <c r="H301" s="39"/>
      <c r="I301" s="39">
        <f t="shared" ref="I301" si="960">SUM(J301:O301)</f>
        <v>0</v>
      </c>
      <c r="J301" s="39">
        <v>0</v>
      </c>
      <c r="K301" s="39">
        <v>0</v>
      </c>
      <c r="L301" s="39">
        <v>0</v>
      </c>
      <c r="M301" s="39">
        <v>0</v>
      </c>
      <c r="N301" s="39"/>
      <c r="O301" s="39"/>
      <c r="P301" s="39">
        <f t="shared" ref="P301" si="961">SUM(Q301:R301)</f>
        <v>0</v>
      </c>
      <c r="Q301" s="39">
        <v>0</v>
      </c>
      <c r="R301" s="39"/>
      <c r="S301" s="39">
        <v>0</v>
      </c>
      <c r="T301" s="39"/>
      <c r="U301" s="39">
        <f t="shared" ref="U301" si="962">SUM(V301:AC301)</f>
        <v>0</v>
      </c>
      <c r="V301" s="39">
        <v>0</v>
      </c>
      <c r="W301" s="39"/>
      <c r="X301" s="39"/>
      <c r="Y301" s="39"/>
      <c r="Z301" s="39">
        <v>0</v>
      </c>
      <c r="AA301" s="39">
        <v>0</v>
      </c>
      <c r="AB301" s="39">
        <v>0</v>
      </c>
      <c r="AC301" s="39">
        <v>0</v>
      </c>
      <c r="AD301" s="39">
        <v>0</v>
      </c>
      <c r="AE301" s="39">
        <f>SUM(AF301:BA301)</f>
        <v>0</v>
      </c>
      <c r="AF301" s="39">
        <v>0</v>
      </c>
      <c r="AG301" s="39">
        <v>0</v>
      </c>
      <c r="AH301" s="39">
        <v>0</v>
      </c>
      <c r="AI301" s="39">
        <v>0</v>
      </c>
      <c r="AJ301" s="39">
        <v>0</v>
      </c>
      <c r="AK301" s="39">
        <v>0</v>
      </c>
      <c r="AL301" s="39">
        <v>0</v>
      </c>
      <c r="AM301" s="39">
        <v>0</v>
      </c>
      <c r="AN301" s="39">
        <v>0</v>
      </c>
      <c r="AO301" s="39">
        <v>0</v>
      </c>
      <c r="AP301" s="39">
        <v>0</v>
      </c>
      <c r="AQ301" s="39"/>
      <c r="AR301" s="39">
        <v>0</v>
      </c>
      <c r="AS301" s="39">
        <v>0</v>
      </c>
      <c r="AT301" s="39">
        <v>0</v>
      </c>
      <c r="AU301" s="39">
        <v>0</v>
      </c>
      <c r="AV301" s="39">
        <v>0</v>
      </c>
      <c r="AW301" s="39">
        <v>0</v>
      </c>
      <c r="AX301" s="39">
        <v>0</v>
      </c>
      <c r="AY301" s="39">
        <v>0</v>
      </c>
      <c r="AZ301" s="39">
        <v>0</v>
      </c>
      <c r="BA301" s="39">
        <v>0</v>
      </c>
      <c r="BB301" s="39">
        <f>SUM(BC301+BG301+BJ301+BL301+BO301)</f>
        <v>224307720</v>
      </c>
      <c r="BC301" s="39">
        <f t="shared" si="911"/>
        <v>0</v>
      </c>
      <c r="BD301" s="39">
        <v>0</v>
      </c>
      <c r="BE301" s="39">
        <v>0</v>
      </c>
      <c r="BF301" s="39">
        <v>0</v>
      </c>
      <c r="BG301" s="39">
        <f>SUM(BI301:BI301)</f>
        <v>0</v>
      </c>
      <c r="BH301" s="39">
        <v>0</v>
      </c>
      <c r="BI301" s="39">
        <v>0</v>
      </c>
      <c r="BJ301" s="35">
        <f>171504659+52803061</f>
        <v>224307720</v>
      </c>
      <c r="BK301" s="39">
        <v>0</v>
      </c>
      <c r="BL301" s="39">
        <f t="shared" si="956"/>
        <v>0</v>
      </c>
      <c r="BM301" s="39">
        <v>0</v>
      </c>
      <c r="BN301" s="39">
        <v>0</v>
      </c>
      <c r="BO301" s="39">
        <f t="shared" si="913"/>
        <v>0</v>
      </c>
      <c r="BP301" s="39">
        <v>0</v>
      </c>
      <c r="BQ301" s="39">
        <v>0</v>
      </c>
      <c r="BR301" s="39">
        <v>0</v>
      </c>
      <c r="BS301" s="39">
        <v>0</v>
      </c>
      <c r="BT301" s="39">
        <v>0</v>
      </c>
      <c r="BU301" s="39">
        <v>0</v>
      </c>
      <c r="BV301" s="39">
        <v>0</v>
      </c>
      <c r="BW301" s="39">
        <v>0</v>
      </c>
      <c r="BX301" s="39">
        <v>0</v>
      </c>
      <c r="BY301" s="39"/>
      <c r="BZ301" s="39">
        <v>0</v>
      </c>
      <c r="CA301" s="39">
        <f t="shared" si="914"/>
        <v>0</v>
      </c>
      <c r="CB301" s="39">
        <f>SUM(CC301+CF301+CL301)</f>
        <v>0</v>
      </c>
      <c r="CC301" s="39">
        <f t="shared" ref="CC301" si="963">SUM(CD301:CE301)</f>
        <v>0</v>
      </c>
      <c r="CD301" s="39">
        <v>0</v>
      </c>
      <c r="CE301" s="39"/>
      <c r="CF301" s="19">
        <f>SUM(CG301:CK301)</f>
        <v>0</v>
      </c>
      <c r="CG301" s="39">
        <v>0</v>
      </c>
      <c r="CH301" s="39">
        <v>0</v>
      </c>
      <c r="CI301" s="39">
        <v>0</v>
      </c>
      <c r="CJ301" s="39">
        <v>0</v>
      </c>
      <c r="CK301" s="39">
        <v>0</v>
      </c>
      <c r="CL301" s="39">
        <f t="shared" si="916"/>
        <v>0</v>
      </c>
      <c r="CM301" s="39">
        <v>0</v>
      </c>
      <c r="CN301" s="39">
        <v>0</v>
      </c>
      <c r="CO301" s="39">
        <v>0</v>
      </c>
      <c r="CP301" s="39"/>
      <c r="CQ301" s="39"/>
      <c r="CR301" s="39"/>
      <c r="CS301" s="39"/>
      <c r="CT301" s="39">
        <v>0</v>
      </c>
      <c r="CU301" s="39"/>
      <c r="CV301" s="39"/>
      <c r="CW301" s="39"/>
      <c r="CX301" s="39">
        <f t="shared" ref="CX301" si="964">SUM(CY301)</f>
        <v>0</v>
      </c>
      <c r="CY301" s="39">
        <f t="shared" ref="CY301" si="965">SUM(CZ301:DA301)</f>
        <v>0</v>
      </c>
      <c r="CZ301" s="39">
        <v>0</v>
      </c>
      <c r="DA301" s="41">
        <v>0</v>
      </c>
    </row>
    <row r="302" spans="1:106" s="84" customFormat="1" ht="15.75" x14ac:dyDescent="0.25">
      <c r="A302" s="74" t="s">
        <v>1</v>
      </c>
      <c r="B302" s="42" t="s">
        <v>335</v>
      </c>
      <c r="C302" s="43" t="s">
        <v>596</v>
      </c>
      <c r="D302" s="38">
        <f t="shared" si="905"/>
        <v>17124300</v>
      </c>
      <c r="E302" s="39">
        <f t="shared" si="906"/>
        <v>17124300</v>
      </c>
      <c r="F302" s="39">
        <f t="shared" si="907"/>
        <v>0</v>
      </c>
      <c r="G302" s="39"/>
      <c r="H302" s="39"/>
      <c r="I302" s="39">
        <f t="shared" ref="I302" si="966">SUM(J302:O302)</f>
        <v>0</v>
      </c>
      <c r="J302" s="39">
        <v>0</v>
      </c>
      <c r="K302" s="39">
        <v>0</v>
      </c>
      <c r="L302" s="39">
        <v>0</v>
      </c>
      <c r="M302" s="39">
        <v>0</v>
      </c>
      <c r="N302" s="39"/>
      <c r="O302" s="39"/>
      <c r="P302" s="39">
        <f t="shared" ref="P302" si="967">SUM(Q302:R302)</f>
        <v>0</v>
      </c>
      <c r="Q302" s="39">
        <v>0</v>
      </c>
      <c r="R302" s="39"/>
      <c r="S302" s="39">
        <v>0</v>
      </c>
      <c r="T302" s="39"/>
      <c r="U302" s="39">
        <f t="shared" ref="U302" si="968">SUM(V302:AC302)</f>
        <v>0</v>
      </c>
      <c r="V302" s="39">
        <v>0</v>
      </c>
      <c r="W302" s="39"/>
      <c r="X302" s="39"/>
      <c r="Y302" s="39"/>
      <c r="Z302" s="39">
        <v>0</v>
      </c>
      <c r="AA302" s="39">
        <v>0</v>
      </c>
      <c r="AB302" s="39">
        <v>0</v>
      </c>
      <c r="AC302" s="39">
        <v>0</v>
      </c>
      <c r="AD302" s="39">
        <v>0</v>
      </c>
      <c r="AE302" s="39">
        <f>SUM(AF302:BA302)</f>
        <v>0</v>
      </c>
      <c r="AF302" s="39">
        <v>0</v>
      </c>
      <c r="AG302" s="39">
        <v>0</v>
      </c>
      <c r="AH302" s="39">
        <v>0</v>
      </c>
      <c r="AI302" s="39">
        <v>0</v>
      </c>
      <c r="AJ302" s="39">
        <v>0</v>
      </c>
      <c r="AK302" s="39">
        <v>0</v>
      </c>
      <c r="AL302" s="39">
        <v>0</v>
      </c>
      <c r="AM302" s="39">
        <v>0</v>
      </c>
      <c r="AN302" s="39">
        <v>0</v>
      </c>
      <c r="AO302" s="39">
        <v>0</v>
      </c>
      <c r="AP302" s="39">
        <v>0</v>
      </c>
      <c r="AQ302" s="39"/>
      <c r="AR302" s="39">
        <v>0</v>
      </c>
      <c r="AS302" s="39">
        <v>0</v>
      </c>
      <c r="AT302" s="39">
        <v>0</v>
      </c>
      <c r="AU302" s="39">
        <v>0</v>
      </c>
      <c r="AV302" s="39">
        <v>0</v>
      </c>
      <c r="AW302" s="39">
        <v>0</v>
      </c>
      <c r="AX302" s="39">
        <v>0</v>
      </c>
      <c r="AY302" s="39">
        <v>0</v>
      </c>
      <c r="AZ302" s="39">
        <v>0</v>
      </c>
      <c r="BA302" s="39">
        <v>0</v>
      </c>
      <c r="BB302" s="39">
        <f>SUM(BC302+BG302+BJ302+BL302+BO302)</f>
        <v>17124300</v>
      </c>
      <c r="BC302" s="39">
        <f t="shared" ref="BC302" si="969">SUM(BD302:BF302)</f>
        <v>0</v>
      </c>
      <c r="BD302" s="39">
        <v>0</v>
      </c>
      <c r="BE302" s="39">
        <v>0</v>
      </c>
      <c r="BF302" s="39">
        <v>0</v>
      </c>
      <c r="BG302" s="39">
        <f>SUM(BH302:BI302)</f>
        <v>17124300</v>
      </c>
      <c r="BH302" s="39">
        <v>17124300</v>
      </c>
      <c r="BI302" s="39">
        <v>0</v>
      </c>
      <c r="BJ302" s="35"/>
      <c r="BK302" s="39">
        <v>0</v>
      </c>
      <c r="BL302" s="39">
        <f t="shared" ref="BL302" si="970">SUM(BM302)</f>
        <v>0</v>
      </c>
      <c r="BM302" s="39">
        <v>0</v>
      </c>
      <c r="BN302" s="39">
        <v>0</v>
      </c>
      <c r="BO302" s="39">
        <f t="shared" ref="BO302" si="971">SUM(BP302:BZ302)</f>
        <v>0</v>
      </c>
      <c r="BP302" s="39">
        <v>0</v>
      </c>
      <c r="BQ302" s="39">
        <v>0</v>
      </c>
      <c r="BR302" s="39">
        <v>0</v>
      </c>
      <c r="BS302" s="39">
        <v>0</v>
      </c>
      <c r="BT302" s="39">
        <v>0</v>
      </c>
      <c r="BU302" s="39">
        <v>0</v>
      </c>
      <c r="BV302" s="39">
        <v>0</v>
      </c>
      <c r="BW302" s="39">
        <v>0</v>
      </c>
      <c r="BX302" s="39">
        <v>0</v>
      </c>
      <c r="BY302" s="39"/>
      <c r="BZ302" s="39">
        <v>0</v>
      </c>
      <c r="CA302" s="39">
        <f t="shared" ref="CA302" si="972">SUM(CB302+CT302)</f>
        <v>0</v>
      </c>
      <c r="CB302" s="39">
        <f>SUM(CC302+CF302+CL302)</f>
        <v>0</v>
      </c>
      <c r="CC302" s="39">
        <f t="shared" ref="CC302" si="973">SUM(CD302:CE302)</f>
        <v>0</v>
      </c>
      <c r="CD302" s="39">
        <v>0</v>
      </c>
      <c r="CE302" s="39"/>
      <c r="CF302" s="19">
        <f>SUM(CG302:CK302)</f>
        <v>0</v>
      </c>
      <c r="CG302" s="39">
        <v>0</v>
      </c>
      <c r="CH302" s="39">
        <v>0</v>
      </c>
      <c r="CI302" s="39">
        <v>0</v>
      </c>
      <c r="CJ302" s="39">
        <v>0</v>
      </c>
      <c r="CK302" s="39">
        <v>0</v>
      </c>
      <c r="CL302" s="39">
        <f t="shared" ref="CL302" si="974">SUM(CM302:CQ302)</f>
        <v>0</v>
      </c>
      <c r="CM302" s="39">
        <v>0</v>
      </c>
      <c r="CN302" s="39">
        <v>0</v>
      </c>
      <c r="CO302" s="39">
        <v>0</v>
      </c>
      <c r="CP302" s="39"/>
      <c r="CQ302" s="39"/>
      <c r="CR302" s="39"/>
      <c r="CS302" s="39"/>
      <c r="CT302" s="39">
        <v>0</v>
      </c>
      <c r="CU302" s="39"/>
      <c r="CV302" s="39"/>
      <c r="CW302" s="39"/>
      <c r="CX302" s="39">
        <f t="shared" ref="CX302" si="975">SUM(CY302)</f>
        <v>0</v>
      </c>
      <c r="CY302" s="39">
        <f t="shared" ref="CY302" si="976">SUM(CZ302:DA302)</f>
        <v>0</v>
      </c>
      <c r="CZ302" s="39">
        <v>0</v>
      </c>
      <c r="DA302" s="41">
        <v>0</v>
      </c>
    </row>
    <row r="303" spans="1:106" s="85" customFormat="1" ht="15.75" x14ac:dyDescent="0.25">
      <c r="A303" s="71" t="s">
        <v>338</v>
      </c>
      <c r="B303" s="16" t="s">
        <v>1</v>
      </c>
      <c r="C303" s="17" t="s">
        <v>339</v>
      </c>
      <c r="D303" s="18">
        <f t="shared" ref="D303:AI303" si="977">SUM(D304)</f>
        <v>9277760</v>
      </c>
      <c r="E303" s="18">
        <f t="shared" si="977"/>
        <v>9277760</v>
      </c>
      <c r="F303" s="18">
        <f t="shared" si="977"/>
        <v>0</v>
      </c>
      <c r="G303" s="18">
        <f t="shared" si="977"/>
        <v>0</v>
      </c>
      <c r="H303" s="18">
        <f t="shared" si="977"/>
        <v>0</v>
      </c>
      <c r="I303" s="18">
        <f t="shared" si="977"/>
        <v>0</v>
      </c>
      <c r="J303" s="18">
        <f t="shared" si="977"/>
        <v>0</v>
      </c>
      <c r="K303" s="18">
        <f t="shared" si="977"/>
        <v>0</v>
      </c>
      <c r="L303" s="18">
        <f t="shared" si="977"/>
        <v>0</v>
      </c>
      <c r="M303" s="18">
        <f t="shared" si="977"/>
        <v>0</v>
      </c>
      <c r="N303" s="18">
        <f t="shared" si="977"/>
        <v>0</v>
      </c>
      <c r="O303" s="18">
        <f t="shared" si="977"/>
        <v>0</v>
      </c>
      <c r="P303" s="18">
        <f t="shared" si="977"/>
        <v>0</v>
      </c>
      <c r="Q303" s="18">
        <f t="shared" si="977"/>
        <v>0</v>
      </c>
      <c r="R303" s="18">
        <f t="shared" si="977"/>
        <v>0</v>
      </c>
      <c r="S303" s="18">
        <f t="shared" si="977"/>
        <v>0</v>
      </c>
      <c r="T303" s="18">
        <f t="shared" si="977"/>
        <v>0</v>
      </c>
      <c r="U303" s="18">
        <f t="shared" si="977"/>
        <v>0</v>
      </c>
      <c r="V303" s="18">
        <f t="shared" si="977"/>
        <v>0</v>
      </c>
      <c r="W303" s="18">
        <f t="shared" si="977"/>
        <v>0</v>
      </c>
      <c r="X303" s="18">
        <f t="shared" si="977"/>
        <v>0</v>
      </c>
      <c r="Y303" s="18">
        <f t="shared" si="977"/>
        <v>0</v>
      </c>
      <c r="Z303" s="18">
        <f t="shared" si="977"/>
        <v>0</v>
      </c>
      <c r="AA303" s="18">
        <f t="shared" si="977"/>
        <v>0</v>
      </c>
      <c r="AB303" s="18">
        <f t="shared" si="977"/>
        <v>0</v>
      </c>
      <c r="AC303" s="18">
        <f t="shared" si="977"/>
        <v>0</v>
      </c>
      <c r="AD303" s="18">
        <f t="shared" si="977"/>
        <v>0</v>
      </c>
      <c r="AE303" s="18">
        <f t="shared" si="977"/>
        <v>0</v>
      </c>
      <c r="AF303" s="18">
        <f t="shared" si="977"/>
        <v>0</v>
      </c>
      <c r="AG303" s="18">
        <f t="shared" si="977"/>
        <v>0</v>
      </c>
      <c r="AH303" s="18">
        <f t="shared" si="977"/>
        <v>0</v>
      </c>
      <c r="AI303" s="18">
        <f t="shared" si="977"/>
        <v>0</v>
      </c>
      <c r="AJ303" s="18">
        <f t="shared" ref="AJ303:CY303" si="978">SUM(AJ304)</f>
        <v>0</v>
      </c>
      <c r="AK303" s="18">
        <f t="shared" si="978"/>
        <v>0</v>
      </c>
      <c r="AL303" s="18">
        <f t="shared" si="978"/>
        <v>0</v>
      </c>
      <c r="AM303" s="18">
        <f t="shared" si="978"/>
        <v>0</v>
      </c>
      <c r="AN303" s="18">
        <f t="shared" si="978"/>
        <v>0</v>
      </c>
      <c r="AO303" s="18">
        <f t="shared" si="978"/>
        <v>0</v>
      </c>
      <c r="AP303" s="18">
        <f t="shared" si="978"/>
        <v>0</v>
      </c>
      <c r="AQ303" s="18"/>
      <c r="AR303" s="18">
        <f t="shared" si="978"/>
        <v>0</v>
      </c>
      <c r="AS303" s="18">
        <f t="shared" si="978"/>
        <v>0</v>
      </c>
      <c r="AT303" s="18">
        <f t="shared" si="978"/>
        <v>0</v>
      </c>
      <c r="AU303" s="18">
        <f t="shared" si="978"/>
        <v>0</v>
      </c>
      <c r="AV303" s="18">
        <f t="shared" si="978"/>
        <v>0</v>
      </c>
      <c r="AW303" s="18">
        <f t="shared" si="978"/>
        <v>0</v>
      </c>
      <c r="AX303" s="18">
        <f t="shared" si="978"/>
        <v>0</v>
      </c>
      <c r="AY303" s="18">
        <f t="shared" si="978"/>
        <v>0</v>
      </c>
      <c r="AZ303" s="18"/>
      <c r="BA303" s="18">
        <f t="shared" si="978"/>
        <v>0</v>
      </c>
      <c r="BB303" s="18">
        <f t="shared" si="978"/>
        <v>9277760</v>
      </c>
      <c r="BC303" s="18">
        <f t="shared" si="978"/>
        <v>0</v>
      </c>
      <c r="BD303" s="18">
        <f t="shared" si="978"/>
        <v>0</v>
      </c>
      <c r="BE303" s="18">
        <f t="shared" si="978"/>
        <v>0</v>
      </c>
      <c r="BF303" s="18">
        <f t="shared" si="978"/>
        <v>0</v>
      </c>
      <c r="BG303" s="38">
        <f>SUM(BH303:BI303)</f>
        <v>9277760</v>
      </c>
      <c r="BH303" s="18">
        <f t="shared" si="978"/>
        <v>0</v>
      </c>
      <c r="BI303" s="18">
        <f t="shared" si="978"/>
        <v>9277760</v>
      </c>
      <c r="BJ303" s="18">
        <f t="shared" si="978"/>
        <v>0</v>
      </c>
      <c r="BK303" s="18">
        <f t="shared" si="978"/>
        <v>0</v>
      </c>
      <c r="BL303" s="18">
        <f t="shared" si="978"/>
        <v>0</v>
      </c>
      <c r="BM303" s="18">
        <f t="shared" si="978"/>
        <v>0</v>
      </c>
      <c r="BN303" s="18">
        <f t="shared" si="978"/>
        <v>0</v>
      </c>
      <c r="BO303" s="18">
        <f t="shared" si="978"/>
        <v>0</v>
      </c>
      <c r="BP303" s="18">
        <f t="shared" si="978"/>
        <v>0</v>
      </c>
      <c r="BQ303" s="18">
        <f t="shared" si="978"/>
        <v>0</v>
      </c>
      <c r="BR303" s="18">
        <f t="shared" si="978"/>
        <v>0</v>
      </c>
      <c r="BS303" s="18">
        <f t="shared" si="978"/>
        <v>0</v>
      </c>
      <c r="BT303" s="18">
        <f t="shared" si="978"/>
        <v>0</v>
      </c>
      <c r="BU303" s="18">
        <f t="shared" si="978"/>
        <v>0</v>
      </c>
      <c r="BV303" s="18">
        <f t="shared" si="978"/>
        <v>0</v>
      </c>
      <c r="BW303" s="18">
        <f t="shared" si="978"/>
        <v>0</v>
      </c>
      <c r="BX303" s="18">
        <f t="shared" si="978"/>
        <v>0</v>
      </c>
      <c r="BY303" s="18">
        <f t="shared" si="978"/>
        <v>0</v>
      </c>
      <c r="BZ303" s="18">
        <f t="shared" si="978"/>
        <v>0</v>
      </c>
      <c r="CA303" s="18">
        <f t="shared" si="914"/>
        <v>0</v>
      </c>
      <c r="CB303" s="18">
        <f t="shared" si="978"/>
        <v>0</v>
      </c>
      <c r="CC303" s="18">
        <f t="shared" si="978"/>
        <v>0</v>
      </c>
      <c r="CD303" s="18">
        <f t="shared" si="978"/>
        <v>0</v>
      </c>
      <c r="CE303" s="18">
        <f t="shared" si="978"/>
        <v>0</v>
      </c>
      <c r="CF303" s="18">
        <f t="shared" si="978"/>
        <v>0</v>
      </c>
      <c r="CG303" s="18">
        <f t="shared" si="978"/>
        <v>0</v>
      </c>
      <c r="CH303" s="18">
        <f t="shared" si="978"/>
        <v>0</v>
      </c>
      <c r="CI303" s="18">
        <f t="shared" si="978"/>
        <v>0</v>
      </c>
      <c r="CJ303" s="18">
        <f t="shared" si="978"/>
        <v>0</v>
      </c>
      <c r="CK303" s="18">
        <f t="shared" si="978"/>
        <v>0</v>
      </c>
      <c r="CL303" s="18">
        <f t="shared" si="978"/>
        <v>0</v>
      </c>
      <c r="CM303" s="18">
        <f t="shared" si="978"/>
        <v>0</v>
      </c>
      <c r="CN303" s="18">
        <f t="shared" si="978"/>
        <v>0</v>
      </c>
      <c r="CO303" s="18">
        <f t="shared" si="978"/>
        <v>0</v>
      </c>
      <c r="CP303" s="18"/>
      <c r="CQ303" s="18"/>
      <c r="CR303" s="18"/>
      <c r="CS303" s="18"/>
      <c r="CT303" s="18">
        <f t="shared" si="978"/>
        <v>0</v>
      </c>
      <c r="CU303" s="18"/>
      <c r="CV303" s="18"/>
      <c r="CW303" s="18"/>
      <c r="CX303" s="18">
        <f t="shared" si="978"/>
        <v>0</v>
      </c>
      <c r="CY303" s="18">
        <f t="shared" si="978"/>
        <v>0</v>
      </c>
      <c r="CZ303" s="18">
        <f t="shared" ref="CZ303:DA303" si="979">SUM(CZ304)</f>
        <v>0</v>
      </c>
      <c r="DA303" s="46">
        <f t="shared" si="979"/>
        <v>0</v>
      </c>
    </row>
    <row r="304" spans="1:106" ht="15.75" x14ac:dyDescent="0.25">
      <c r="A304" s="72" t="s">
        <v>1</v>
      </c>
      <c r="B304" s="21" t="s">
        <v>340</v>
      </c>
      <c r="C304" s="22" t="s">
        <v>339</v>
      </c>
      <c r="D304" s="18">
        <f>SUM(E304+CA304+CX304)</f>
        <v>9277760</v>
      </c>
      <c r="E304" s="19">
        <f>SUM(F304+BB304)</f>
        <v>9277760</v>
      </c>
      <c r="F304" s="19">
        <f>SUM(G304+H304+I304+P304+S304+T304+U304+AE304)</f>
        <v>0</v>
      </c>
      <c r="G304" s="19">
        <v>0</v>
      </c>
      <c r="H304" s="19">
        <v>0</v>
      </c>
      <c r="I304" s="19">
        <f>SUM(J304:O304)</f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f>SUM(Q304:R304)</f>
        <v>0</v>
      </c>
      <c r="Q304" s="19">
        <v>0</v>
      </c>
      <c r="R304" s="19">
        <v>0</v>
      </c>
      <c r="S304" s="19">
        <v>0</v>
      </c>
      <c r="T304" s="19">
        <v>0</v>
      </c>
      <c r="U304" s="19">
        <f t="shared" ref="U304" si="980">SUM(V304:AC304)</f>
        <v>0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0</v>
      </c>
      <c r="AB304" s="19">
        <v>0</v>
      </c>
      <c r="AC304" s="19">
        <v>0</v>
      </c>
      <c r="AD304" s="19">
        <v>0</v>
      </c>
      <c r="AE304" s="19">
        <f>SUM(AF304:BA304)</f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/>
      <c r="AR304" s="19">
        <v>0</v>
      </c>
      <c r="AS304" s="19">
        <v>0</v>
      </c>
      <c r="AT304" s="19">
        <v>0</v>
      </c>
      <c r="AU304" s="19">
        <v>0</v>
      </c>
      <c r="AV304" s="19">
        <v>0</v>
      </c>
      <c r="AW304" s="19">
        <v>0</v>
      </c>
      <c r="AX304" s="19">
        <v>0</v>
      </c>
      <c r="AY304" s="19">
        <v>0</v>
      </c>
      <c r="AZ304" s="19"/>
      <c r="BA304" s="19">
        <v>0</v>
      </c>
      <c r="BB304" s="19">
        <f>SUM(BC304+BG304+BJ304+BL304+BO304)</f>
        <v>9277760</v>
      </c>
      <c r="BC304" s="19">
        <f>SUM(BD304:BF304)</f>
        <v>0</v>
      </c>
      <c r="BD304" s="19">
        <v>0</v>
      </c>
      <c r="BE304" s="19">
        <v>0</v>
      </c>
      <c r="BF304" s="19">
        <v>0</v>
      </c>
      <c r="BG304" s="39">
        <f>SUM(BH304:BI304)</f>
        <v>9277760</v>
      </c>
      <c r="BH304" s="19">
        <v>0</v>
      </c>
      <c r="BI304" s="23">
        <f>8391647+886113</f>
        <v>9277760</v>
      </c>
      <c r="BJ304" s="19">
        <v>0</v>
      </c>
      <c r="BK304" s="19">
        <v>0</v>
      </c>
      <c r="BL304" s="19">
        <f>SUM(BM304)</f>
        <v>0</v>
      </c>
      <c r="BM304" s="19">
        <v>0</v>
      </c>
      <c r="BN304" s="19">
        <v>0</v>
      </c>
      <c r="BO304" s="19">
        <f>SUM(BP304:BZ304)</f>
        <v>0</v>
      </c>
      <c r="BP304" s="19">
        <v>0</v>
      </c>
      <c r="BQ304" s="19">
        <v>0</v>
      </c>
      <c r="BR304" s="19">
        <v>0</v>
      </c>
      <c r="BS304" s="19">
        <v>0</v>
      </c>
      <c r="BT304" s="19">
        <v>0</v>
      </c>
      <c r="BU304" s="19">
        <v>0</v>
      </c>
      <c r="BV304" s="19">
        <v>0</v>
      </c>
      <c r="BW304" s="19">
        <v>0</v>
      </c>
      <c r="BX304" s="19">
        <v>0</v>
      </c>
      <c r="BY304" s="19">
        <v>0</v>
      </c>
      <c r="BZ304" s="19">
        <v>0</v>
      </c>
      <c r="CA304" s="19">
        <f t="shared" si="914"/>
        <v>0</v>
      </c>
      <c r="CB304" s="19">
        <f>SUM(CC304+CF304+CL304)</f>
        <v>0</v>
      </c>
      <c r="CC304" s="19">
        <f>SUM(CD304:CE304)</f>
        <v>0</v>
      </c>
      <c r="CD304" s="19">
        <v>0</v>
      </c>
      <c r="CE304" s="19">
        <v>0</v>
      </c>
      <c r="CF304" s="19">
        <f>SUM(CG304:CK304)</f>
        <v>0</v>
      </c>
      <c r="CG304" s="19">
        <v>0</v>
      </c>
      <c r="CH304" s="19">
        <v>0</v>
      </c>
      <c r="CI304" s="19">
        <v>0</v>
      </c>
      <c r="CJ304" s="19">
        <v>0</v>
      </c>
      <c r="CK304" s="19">
        <v>0</v>
      </c>
      <c r="CL304" s="19">
        <f>SUM(CM304:CQ304)</f>
        <v>0</v>
      </c>
      <c r="CM304" s="19">
        <v>0</v>
      </c>
      <c r="CN304" s="19">
        <v>0</v>
      </c>
      <c r="CO304" s="19">
        <v>0</v>
      </c>
      <c r="CP304" s="19"/>
      <c r="CQ304" s="19"/>
      <c r="CR304" s="19"/>
      <c r="CS304" s="19"/>
      <c r="CT304" s="19">
        <v>0</v>
      </c>
      <c r="CU304" s="19"/>
      <c r="CV304" s="19"/>
      <c r="CW304" s="19"/>
      <c r="CX304" s="19">
        <f>SUM(CY304)</f>
        <v>0</v>
      </c>
      <c r="CY304" s="19">
        <f>SUM(CZ304:DA304)</f>
        <v>0</v>
      </c>
      <c r="CZ304" s="19">
        <v>0</v>
      </c>
      <c r="DA304" s="20">
        <v>0</v>
      </c>
    </row>
    <row r="305" spans="1:106" s="84" customFormat="1" ht="31.5" x14ac:dyDescent="0.25">
      <c r="A305" s="71" t="s">
        <v>341</v>
      </c>
      <c r="B305" s="16" t="s">
        <v>1</v>
      </c>
      <c r="C305" s="17" t="s">
        <v>577</v>
      </c>
      <c r="D305" s="18">
        <f>SUM(D306:D307)</f>
        <v>106362161</v>
      </c>
      <c r="E305" s="18">
        <f t="shared" ref="E305:BP305" si="981">SUM(E306:E307)</f>
        <v>94371324</v>
      </c>
      <c r="F305" s="18">
        <f t="shared" si="981"/>
        <v>0</v>
      </c>
      <c r="G305" s="18">
        <f t="shared" si="981"/>
        <v>0</v>
      </c>
      <c r="H305" s="18">
        <f t="shared" si="981"/>
        <v>0</v>
      </c>
      <c r="I305" s="18">
        <f t="shared" si="981"/>
        <v>0</v>
      </c>
      <c r="J305" s="18">
        <f t="shared" si="981"/>
        <v>0</v>
      </c>
      <c r="K305" s="18">
        <f t="shared" si="981"/>
        <v>0</v>
      </c>
      <c r="L305" s="18">
        <f t="shared" si="981"/>
        <v>0</v>
      </c>
      <c r="M305" s="18">
        <f t="shared" si="981"/>
        <v>0</v>
      </c>
      <c r="N305" s="18">
        <f t="shared" si="981"/>
        <v>0</v>
      </c>
      <c r="O305" s="18">
        <f t="shared" si="981"/>
        <v>0</v>
      </c>
      <c r="P305" s="18">
        <f t="shared" si="981"/>
        <v>0</v>
      </c>
      <c r="Q305" s="18">
        <f t="shared" si="981"/>
        <v>0</v>
      </c>
      <c r="R305" s="18">
        <f t="shared" si="981"/>
        <v>0</v>
      </c>
      <c r="S305" s="18">
        <f t="shared" si="981"/>
        <v>0</v>
      </c>
      <c r="T305" s="18">
        <f t="shared" si="981"/>
        <v>0</v>
      </c>
      <c r="U305" s="18">
        <f t="shared" si="981"/>
        <v>0</v>
      </c>
      <c r="V305" s="18">
        <f t="shared" si="981"/>
        <v>0</v>
      </c>
      <c r="W305" s="18">
        <f t="shared" si="981"/>
        <v>0</v>
      </c>
      <c r="X305" s="18">
        <f t="shared" si="981"/>
        <v>0</v>
      </c>
      <c r="Y305" s="18">
        <f t="shared" si="981"/>
        <v>0</v>
      </c>
      <c r="Z305" s="18">
        <f t="shared" si="981"/>
        <v>0</v>
      </c>
      <c r="AA305" s="18">
        <f t="shared" si="981"/>
        <v>0</v>
      </c>
      <c r="AB305" s="18">
        <f t="shared" si="981"/>
        <v>0</v>
      </c>
      <c r="AC305" s="18">
        <f t="shared" si="981"/>
        <v>0</v>
      </c>
      <c r="AD305" s="18">
        <f t="shared" ref="AD305" si="982">SUM(AD306:AD307)</f>
        <v>0</v>
      </c>
      <c r="AE305" s="18">
        <f t="shared" si="981"/>
        <v>0</v>
      </c>
      <c r="AF305" s="18">
        <f t="shared" si="981"/>
        <v>0</v>
      </c>
      <c r="AG305" s="18">
        <f t="shared" si="981"/>
        <v>0</v>
      </c>
      <c r="AH305" s="18">
        <f t="shared" si="981"/>
        <v>0</v>
      </c>
      <c r="AI305" s="18">
        <f t="shared" si="981"/>
        <v>0</v>
      </c>
      <c r="AJ305" s="18">
        <f t="shared" si="981"/>
        <v>0</v>
      </c>
      <c r="AK305" s="18">
        <f t="shared" si="981"/>
        <v>0</v>
      </c>
      <c r="AL305" s="18">
        <f t="shared" si="981"/>
        <v>0</v>
      </c>
      <c r="AM305" s="18">
        <f t="shared" si="981"/>
        <v>0</v>
      </c>
      <c r="AN305" s="18">
        <f t="shared" si="981"/>
        <v>0</v>
      </c>
      <c r="AO305" s="18">
        <f t="shared" si="981"/>
        <v>0</v>
      </c>
      <c r="AP305" s="18">
        <f t="shared" si="981"/>
        <v>0</v>
      </c>
      <c r="AQ305" s="18">
        <f t="shared" si="981"/>
        <v>0</v>
      </c>
      <c r="AR305" s="18">
        <f t="shared" si="981"/>
        <v>0</v>
      </c>
      <c r="AS305" s="18">
        <f t="shared" si="981"/>
        <v>0</v>
      </c>
      <c r="AT305" s="18">
        <f t="shared" si="981"/>
        <v>0</v>
      </c>
      <c r="AU305" s="18">
        <f t="shared" si="981"/>
        <v>0</v>
      </c>
      <c r="AV305" s="18">
        <f t="shared" si="981"/>
        <v>0</v>
      </c>
      <c r="AW305" s="18">
        <f t="shared" si="981"/>
        <v>0</v>
      </c>
      <c r="AX305" s="18">
        <f t="shared" si="981"/>
        <v>0</v>
      </c>
      <c r="AY305" s="18">
        <f t="shared" si="981"/>
        <v>0</v>
      </c>
      <c r="AZ305" s="18">
        <f t="shared" si="981"/>
        <v>0</v>
      </c>
      <c r="BA305" s="18">
        <f t="shared" si="981"/>
        <v>0</v>
      </c>
      <c r="BB305" s="18">
        <f t="shared" si="981"/>
        <v>94371324</v>
      </c>
      <c r="BC305" s="18">
        <f t="shared" si="981"/>
        <v>0</v>
      </c>
      <c r="BD305" s="18">
        <f t="shared" si="981"/>
        <v>0</v>
      </c>
      <c r="BE305" s="18">
        <f t="shared" si="981"/>
        <v>0</v>
      </c>
      <c r="BF305" s="18">
        <f t="shared" si="981"/>
        <v>0</v>
      </c>
      <c r="BG305" s="18">
        <f t="shared" si="981"/>
        <v>0</v>
      </c>
      <c r="BH305" s="18">
        <f t="shared" si="981"/>
        <v>0</v>
      </c>
      <c r="BI305" s="18">
        <f t="shared" si="981"/>
        <v>0</v>
      </c>
      <c r="BJ305" s="18">
        <f t="shared" si="981"/>
        <v>44896209</v>
      </c>
      <c r="BK305" s="18">
        <f t="shared" si="981"/>
        <v>0</v>
      </c>
      <c r="BL305" s="18">
        <f t="shared" si="981"/>
        <v>0</v>
      </c>
      <c r="BM305" s="18">
        <f t="shared" si="981"/>
        <v>0</v>
      </c>
      <c r="BN305" s="18">
        <f t="shared" si="981"/>
        <v>0</v>
      </c>
      <c r="BO305" s="18">
        <f t="shared" si="981"/>
        <v>49475115</v>
      </c>
      <c r="BP305" s="18">
        <f t="shared" si="981"/>
        <v>0</v>
      </c>
      <c r="BQ305" s="18">
        <f t="shared" ref="BQ305:DA305" si="983">SUM(BQ306:BQ307)</f>
        <v>0</v>
      </c>
      <c r="BR305" s="18">
        <f t="shared" si="983"/>
        <v>0</v>
      </c>
      <c r="BS305" s="18">
        <f t="shared" si="983"/>
        <v>0</v>
      </c>
      <c r="BT305" s="18">
        <f t="shared" si="983"/>
        <v>0</v>
      </c>
      <c r="BU305" s="18">
        <f t="shared" si="983"/>
        <v>0</v>
      </c>
      <c r="BV305" s="18">
        <f t="shared" si="983"/>
        <v>0</v>
      </c>
      <c r="BW305" s="18">
        <f t="shared" si="983"/>
        <v>0</v>
      </c>
      <c r="BX305" s="18">
        <f t="shared" si="983"/>
        <v>0</v>
      </c>
      <c r="BY305" s="18">
        <f t="shared" si="983"/>
        <v>0</v>
      </c>
      <c r="BZ305" s="18">
        <f t="shared" si="983"/>
        <v>49475115</v>
      </c>
      <c r="CA305" s="18">
        <f t="shared" si="983"/>
        <v>11990837</v>
      </c>
      <c r="CB305" s="18">
        <f t="shared" si="983"/>
        <v>11990837</v>
      </c>
      <c r="CC305" s="18">
        <f t="shared" si="983"/>
        <v>0</v>
      </c>
      <c r="CD305" s="18">
        <f t="shared" si="983"/>
        <v>0</v>
      </c>
      <c r="CE305" s="18">
        <f t="shared" si="983"/>
        <v>0</v>
      </c>
      <c r="CF305" s="18">
        <f t="shared" si="983"/>
        <v>11990837</v>
      </c>
      <c r="CG305" s="18">
        <f t="shared" si="983"/>
        <v>0</v>
      </c>
      <c r="CH305" s="18">
        <f t="shared" si="983"/>
        <v>0</v>
      </c>
      <c r="CI305" s="18">
        <f t="shared" si="983"/>
        <v>0</v>
      </c>
      <c r="CJ305" s="18">
        <f t="shared" si="983"/>
        <v>11990837</v>
      </c>
      <c r="CK305" s="18">
        <f t="shared" si="983"/>
        <v>0</v>
      </c>
      <c r="CL305" s="18">
        <f t="shared" si="983"/>
        <v>0</v>
      </c>
      <c r="CM305" s="18">
        <f t="shared" si="983"/>
        <v>0</v>
      </c>
      <c r="CN305" s="18">
        <f t="shared" si="983"/>
        <v>0</v>
      </c>
      <c r="CO305" s="18">
        <f t="shared" si="983"/>
        <v>0</v>
      </c>
      <c r="CP305" s="18">
        <f t="shared" si="983"/>
        <v>0</v>
      </c>
      <c r="CQ305" s="18">
        <f t="shared" si="983"/>
        <v>0</v>
      </c>
      <c r="CR305" s="18">
        <f t="shared" si="983"/>
        <v>0</v>
      </c>
      <c r="CS305" s="18">
        <f t="shared" si="983"/>
        <v>0</v>
      </c>
      <c r="CT305" s="18">
        <f t="shared" si="983"/>
        <v>0</v>
      </c>
      <c r="CU305" s="18">
        <f t="shared" si="983"/>
        <v>0</v>
      </c>
      <c r="CV305" s="18">
        <f t="shared" si="983"/>
        <v>0</v>
      </c>
      <c r="CW305" s="18">
        <f t="shared" si="983"/>
        <v>0</v>
      </c>
      <c r="CX305" s="18">
        <f t="shared" si="983"/>
        <v>0</v>
      </c>
      <c r="CY305" s="18">
        <f t="shared" si="983"/>
        <v>0</v>
      </c>
      <c r="CZ305" s="18">
        <f t="shared" si="983"/>
        <v>0</v>
      </c>
      <c r="DA305" s="46">
        <f t="shared" si="983"/>
        <v>0</v>
      </c>
      <c r="DB305" s="85"/>
    </row>
    <row r="306" spans="1:106" s="84" customFormat="1" ht="31.5" x14ac:dyDescent="0.25">
      <c r="A306" s="72" t="s">
        <v>1</v>
      </c>
      <c r="B306" s="21" t="s">
        <v>92</v>
      </c>
      <c r="C306" s="22" t="s">
        <v>578</v>
      </c>
      <c r="D306" s="18">
        <f>SUM(E306+CA306+CX306)</f>
        <v>49475115</v>
      </c>
      <c r="E306" s="19">
        <f>SUM(F306+BB306)</f>
        <v>49475115</v>
      </c>
      <c r="F306" s="19">
        <f t="shared" ref="F306:F307" si="984">SUM(G306+H306+I306+P306+S306+T306+U306+AE306)</f>
        <v>0</v>
      </c>
      <c r="G306" s="19">
        <v>0</v>
      </c>
      <c r="H306" s="19">
        <v>0</v>
      </c>
      <c r="I306" s="19">
        <f t="shared" ref="I306:I317" si="985">SUM(J306:O306)</f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f t="shared" ref="P306:P317" si="986">SUM(Q306:R306)</f>
        <v>0</v>
      </c>
      <c r="Q306" s="19">
        <v>0</v>
      </c>
      <c r="R306" s="19">
        <v>0</v>
      </c>
      <c r="S306" s="19">
        <v>0</v>
      </c>
      <c r="T306" s="19">
        <v>0</v>
      </c>
      <c r="U306" s="19">
        <f t="shared" ref="U306" si="987">SUM(V306:AC306)</f>
        <v>0</v>
      </c>
      <c r="V306" s="19">
        <v>0</v>
      </c>
      <c r="W306" s="19">
        <v>0</v>
      </c>
      <c r="X306" s="19">
        <v>0</v>
      </c>
      <c r="Y306" s="19">
        <v>0</v>
      </c>
      <c r="Z306" s="19">
        <v>0</v>
      </c>
      <c r="AA306" s="19">
        <v>0</v>
      </c>
      <c r="AB306" s="19">
        <v>0</v>
      </c>
      <c r="AC306" s="19">
        <v>0</v>
      </c>
      <c r="AD306" s="19">
        <v>0</v>
      </c>
      <c r="AE306" s="19">
        <f>SUM(AF306:BA306)</f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/>
      <c r="AR306" s="19">
        <v>0</v>
      </c>
      <c r="AS306" s="19">
        <v>0</v>
      </c>
      <c r="AT306" s="19">
        <v>0</v>
      </c>
      <c r="AU306" s="19">
        <v>0</v>
      </c>
      <c r="AV306" s="19">
        <v>0</v>
      </c>
      <c r="AW306" s="19">
        <v>0</v>
      </c>
      <c r="AX306" s="19">
        <v>0</v>
      </c>
      <c r="AY306" s="19">
        <v>0</v>
      </c>
      <c r="AZ306" s="19"/>
      <c r="BA306" s="19"/>
      <c r="BB306" s="19">
        <f>SUM(BC306+BG306+BJ306+BL306+BO306)</f>
        <v>49475115</v>
      </c>
      <c r="BC306" s="19">
        <f>SUM(BD306:BF306)</f>
        <v>0</v>
      </c>
      <c r="BD306" s="19">
        <v>0</v>
      </c>
      <c r="BE306" s="19">
        <v>0</v>
      </c>
      <c r="BF306" s="19">
        <v>0</v>
      </c>
      <c r="BG306" s="19">
        <f>SUM(BI306:BI306)</f>
        <v>0</v>
      </c>
      <c r="BH306" s="19">
        <v>0</v>
      </c>
      <c r="BI306" s="19">
        <v>0</v>
      </c>
      <c r="BJ306" s="19">
        <v>0</v>
      </c>
      <c r="BK306" s="19">
        <v>0</v>
      </c>
      <c r="BL306" s="19">
        <f t="shared" ref="BL306:BL317" si="988">SUM(BM306)</f>
        <v>0</v>
      </c>
      <c r="BM306" s="19">
        <v>0</v>
      </c>
      <c r="BN306" s="19">
        <v>0</v>
      </c>
      <c r="BO306" s="19">
        <f>SUM(BP306:BZ306)</f>
        <v>49475115</v>
      </c>
      <c r="BP306" s="19">
        <v>0</v>
      </c>
      <c r="BQ306" s="19">
        <v>0</v>
      </c>
      <c r="BR306" s="19">
        <v>0</v>
      </c>
      <c r="BS306" s="19">
        <v>0</v>
      </c>
      <c r="BT306" s="19">
        <v>0</v>
      </c>
      <c r="BU306" s="19">
        <v>0</v>
      </c>
      <c r="BV306" s="19">
        <v>0</v>
      </c>
      <c r="BW306" s="19">
        <v>0</v>
      </c>
      <c r="BX306" s="19">
        <v>0</v>
      </c>
      <c r="BY306" s="19">
        <v>0</v>
      </c>
      <c r="BZ306" s="19">
        <v>49475115</v>
      </c>
      <c r="CA306" s="19">
        <f t="shared" si="914"/>
        <v>0</v>
      </c>
      <c r="CB306" s="19">
        <f>SUM(CC306+CF306+CL306)</f>
        <v>0</v>
      </c>
      <c r="CC306" s="19">
        <f t="shared" ref="CC306:CC317" si="989">SUM(CD306:CE306)</f>
        <v>0</v>
      </c>
      <c r="CD306" s="19">
        <v>0</v>
      </c>
      <c r="CE306" s="19">
        <v>0</v>
      </c>
      <c r="CF306" s="19">
        <f>SUM(CG306:CK306)</f>
        <v>0</v>
      </c>
      <c r="CG306" s="19">
        <v>0</v>
      </c>
      <c r="CH306" s="19"/>
      <c r="CI306" s="19">
        <v>0</v>
      </c>
      <c r="CJ306" s="19">
        <v>0</v>
      </c>
      <c r="CK306" s="19">
        <v>0</v>
      </c>
      <c r="CL306" s="19">
        <f>SUM(CM306:CQ306)</f>
        <v>0</v>
      </c>
      <c r="CM306" s="19">
        <v>0</v>
      </c>
      <c r="CN306" s="19"/>
      <c r="CO306" s="19">
        <v>0</v>
      </c>
      <c r="CP306" s="19"/>
      <c r="CQ306" s="19"/>
      <c r="CR306" s="19"/>
      <c r="CS306" s="19"/>
      <c r="CT306" s="19">
        <v>0</v>
      </c>
      <c r="CU306" s="19"/>
      <c r="CV306" s="19"/>
      <c r="CW306" s="19"/>
      <c r="CX306" s="19">
        <f t="shared" ref="CX306:CX317" si="990">SUM(CY306)</f>
        <v>0</v>
      </c>
      <c r="CY306" s="19">
        <f t="shared" ref="CY306:CY317" si="991">SUM(CZ306:DA306)</f>
        <v>0</v>
      </c>
      <c r="CZ306" s="19">
        <v>0</v>
      </c>
      <c r="DA306" s="20">
        <v>0</v>
      </c>
    </row>
    <row r="307" spans="1:106" s="84" customFormat="1" ht="31.5" x14ac:dyDescent="0.25">
      <c r="A307" s="72" t="s">
        <v>1</v>
      </c>
      <c r="B307" s="21" t="s">
        <v>295</v>
      </c>
      <c r="C307" s="22" t="s">
        <v>578</v>
      </c>
      <c r="D307" s="18">
        <f>SUM(E307+CA307+CX307)</f>
        <v>56887046</v>
      </c>
      <c r="E307" s="19">
        <f>SUM(F307+BB307)</f>
        <v>44896209</v>
      </c>
      <c r="F307" s="19">
        <f t="shared" si="984"/>
        <v>0</v>
      </c>
      <c r="G307" s="19">
        <v>0</v>
      </c>
      <c r="H307" s="19">
        <v>0</v>
      </c>
      <c r="I307" s="19">
        <f t="shared" ref="I307" si="992">SUM(J307:O307)</f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f t="shared" ref="P307" si="993">SUM(Q307:R307)</f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f t="shared" ref="U307" si="994">SUM(V307:AC307)</f>
        <v>0</v>
      </c>
      <c r="V307" s="19">
        <v>0</v>
      </c>
      <c r="W307" s="19">
        <v>0</v>
      </c>
      <c r="X307" s="19">
        <v>0</v>
      </c>
      <c r="Y307" s="19">
        <v>0</v>
      </c>
      <c r="Z307" s="19">
        <v>0</v>
      </c>
      <c r="AA307" s="19">
        <v>0</v>
      </c>
      <c r="AB307" s="19">
        <v>0</v>
      </c>
      <c r="AC307" s="19">
        <v>0</v>
      </c>
      <c r="AD307" s="19">
        <v>0</v>
      </c>
      <c r="AE307" s="19">
        <f>SUM(AF307:BA307)</f>
        <v>0</v>
      </c>
      <c r="AF307" s="19">
        <v>0</v>
      </c>
      <c r="AG307" s="19">
        <v>0</v>
      </c>
      <c r="AH307" s="19">
        <v>0</v>
      </c>
      <c r="AI307" s="19">
        <v>0</v>
      </c>
      <c r="AJ307" s="19">
        <v>0</v>
      </c>
      <c r="AK307" s="19">
        <v>0</v>
      </c>
      <c r="AL307" s="19">
        <v>0</v>
      </c>
      <c r="AM307" s="19">
        <v>0</v>
      </c>
      <c r="AN307" s="19">
        <v>0</v>
      </c>
      <c r="AO307" s="19">
        <v>0</v>
      </c>
      <c r="AP307" s="19">
        <v>0</v>
      </c>
      <c r="AQ307" s="19"/>
      <c r="AR307" s="19">
        <v>0</v>
      </c>
      <c r="AS307" s="19">
        <v>0</v>
      </c>
      <c r="AT307" s="19">
        <v>0</v>
      </c>
      <c r="AU307" s="19">
        <v>0</v>
      </c>
      <c r="AV307" s="19">
        <v>0</v>
      </c>
      <c r="AW307" s="19">
        <v>0</v>
      </c>
      <c r="AX307" s="19">
        <v>0</v>
      </c>
      <c r="AY307" s="19">
        <v>0</v>
      </c>
      <c r="AZ307" s="19"/>
      <c r="BA307" s="19"/>
      <c r="BB307" s="19">
        <f>SUM(BC307+BG307+BJ307+BL307+BO307)</f>
        <v>44896209</v>
      </c>
      <c r="BC307" s="19">
        <f>SUM(BD307:BF307)</f>
        <v>0</v>
      </c>
      <c r="BD307" s="19">
        <v>0</v>
      </c>
      <c r="BE307" s="19">
        <v>0</v>
      </c>
      <c r="BF307" s="19">
        <v>0</v>
      </c>
      <c r="BG307" s="19">
        <f>SUM(BI307:BI307)</f>
        <v>0</v>
      </c>
      <c r="BH307" s="19">
        <v>0</v>
      </c>
      <c r="BI307" s="19">
        <v>0</v>
      </c>
      <c r="BJ307" s="19">
        <f>0+44896209</f>
        <v>44896209</v>
      </c>
      <c r="BK307" s="19">
        <v>0</v>
      </c>
      <c r="BL307" s="19">
        <f t="shared" ref="BL307" si="995">SUM(BM307)</f>
        <v>0</v>
      </c>
      <c r="BM307" s="19">
        <v>0</v>
      </c>
      <c r="BN307" s="19">
        <v>0</v>
      </c>
      <c r="BO307" s="19">
        <f>SUM(BP307:BZ307)</f>
        <v>0</v>
      </c>
      <c r="BP307" s="19">
        <v>0</v>
      </c>
      <c r="BQ307" s="19">
        <v>0</v>
      </c>
      <c r="BR307" s="19">
        <v>0</v>
      </c>
      <c r="BS307" s="19">
        <v>0</v>
      </c>
      <c r="BT307" s="19">
        <v>0</v>
      </c>
      <c r="BU307" s="19">
        <v>0</v>
      </c>
      <c r="BV307" s="19">
        <v>0</v>
      </c>
      <c r="BW307" s="19">
        <v>0</v>
      </c>
      <c r="BX307" s="19">
        <v>0</v>
      </c>
      <c r="BY307" s="19">
        <v>0</v>
      </c>
      <c r="BZ307" s="19"/>
      <c r="CA307" s="19">
        <f t="shared" ref="CA307" si="996">SUM(CB307+CT307)</f>
        <v>11990837</v>
      </c>
      <c r="CB307" s="19">
        <f>SUM(CC307+CF307+CL307)</f>
        <v>11990837</v>
      </c>
      <c r="CC307" s="19">
        <f t="shared" ref="CC307" si="997">SUM(CD307:CE307)</f>
        <v>0</v>
      </c>
      <c r="CD307" s="19">
        <v>0</v>
      </c>
      <c r="CE307" s="19">
        <v>0</v>
      </c>
      <c r="CF307" s="19">
        <f>SUM(CG307:CK307)</f>
        <v>11990837</v>
      </c>
      <c r="CG307" s="19">
        <v>0</v>
      </c>
      <c r="CH307" s="19"/>
      <c r="CI307" s="19">
        <v>0</v>
      </c>
      <c r="CJ307" s="19">
        <f>0+11990837</f>
        <v>11990837</v>
      </c>
      <c r="CK307" s="19">
        <v>0</v>
      </c>
      <c r="CL307" s="19">
        <f>SUM(CM307:CQ307)</f>
        <v>0</v>
      </c>
      <c r="CM307" s="19">
        <v>0</v>
      </c>
      <c r="CN307" s="19"/>
      <c r="CO307" s="19">
        <v>0</v>
      </c>
      <c r="CP307" s="19"/>
      <c r="CQ307" s="19"/>
      <c r="CR307" s="19"/>
      <c r="CS307" s="19"/>
      <c r="CT307" s="19">
        <v>0</v>
      </c>
      <c r="CU307" s="19"/>
      <c r="CV307" s="19"/>
      <c r="CW307" s="19"/>
      <c r="CX307" s="19">
        <f t="shared" ref="CX307" si="998">SUM(CY307)</f>
        <v>0</v>
      </c>
      <c r="CY307" s="19">
        <f t="shared" ref="CY307" si="999">SUM(CZ307:DA307)</f>
        <v>0</v>
      </c>
      <c r="CZ307" s="19">
        <v>0</v>
      </c>
      <c r="DA307" s="20">
        <v>0</v>
      </c>
    </row>
    <row r="308" spans="1:106" s="85" customFormat="1" ht="15.75" x14ac:dyDescent="0.25">
      <c r="A308" s="71" t="s">
        <v>342</v>
      </c>
      <c r="B308" s="16" t="s">
        <v>1</v>
      </c>
      <c r="C308" s="17" t="s">
        <v>343</v>
      </c>
      <c r="D308" s="18">
        <f t="shared" ref="D308:AK308" si="1000">SUM(D309)</f>
        <v>309529383</v>
      </c>
      <c r="E308" s="18">
        <f t="shared" si="1000"/>
        <v>5201028</v>
      </c>
      <c r="F308" s="18">
        <f t="shared" si="1000"/>
        <v>5201028</v>
      </c>
      <c r="G308" s="18">
        <f t="shared" si="1000"/>
        <v>0</v>
      </c>
      <c r="H308" s="18">
        <f t="shared" si="1000"/>
        <v>0</v>
      </c>
      <c r="I308" s="18">
        <f t="shared" si="1000"/>
        <v>500000</v>
      </c>
      <c r="J308" s="18">
        <f t="shared" si="1000"/>
        <v>0</v>
      </c>
      <c r="K308" s="18">
        <f t="shared" si="1000"/>
        <v>0</v>
      </c>
      <c r="L308" s="18">
        <f t="shared" si="1000"/>
        <v>0</v>
      </c>
      <c r="M308" s="18">
        <f t="shared" si="1000"/>
        <v>0</v>
      </c>
      <c r="N308" s="18">
        <f t="shared" si="1000"/>
        <v>0</v>
      </c>
      <c r="O308" s="18">
        <f t="shared" si="1000"/>
        <v>500000</v>
      </c>
      <c r="P308" s="18">
        <f t="shared" si="1000"/>
        <v>0</v>
      </c>
      <c r="Q308" s="18">
        <f t="shared" si="1000"/>
        <v>0</v>
      </c>
      <c r="R308" s="18">
        <f t="shared" si="1000"/>
        <v>0</v>
      </c>
      <c r="S308" s="18">
        <f t="shared" si="1000"/>
        <v>0</v>
      </c>
      <c r="T308" s="18">
        <f t="shared" si="1000"/>
        <v>0</v>
      </c>
      <c r="U308" s="18">
        <f t="shared" si="1000"/>
        <v>0</v>
      </c>
      <c r="V308" s="18">
        <f t="shared" si="1000"/>
        <v>0</v>
      </c>
      <c r="W308" s="18">
        <f t="shared" si="1000"/>
        <v>0</v>
      </c>
      <c r="X308" s="18">
        <f t="shared" si="1000"/>
        <v>0</v>
      </c>
      <c r="Y308" s="18">
        <f t="shared" si="1000"/>
        <v>0</v>
      </c>
      <c r="Z308" s="18">
        <f t="shared" si="1000"/>
        <v>0</v>
      </c>
      <c r="AA308" s="18">
        <f t="shared" si="1000"/>
        <v>0</v>
      </c>
      <c r="AB308" s="18">
        <f t="shared" si="1000"/>
        <v>0</v>
      </c>
      <c r="AC308" s="18">
        <f t="shared" si="1000"/>
        <v>0</v>
      </c>
      <c r="AD308" s="18">
        <f t="shared" si="1000"/>
        <v>0</v>
      </c>
      <c r="AE308" s="18">
        <f t="shared" si="1000"/>
        <v>4701028</v>
      </c>
      <c r="AF308" s="18">
        <f t="shared" si="1000"/>
        <v>0</v>
      </c>
      <c r="AG308" s="18">
        <f t="shared" si="1000"/>
        <v>0</v>
      </c>
      <c r="AH308" s="18">
        <f t="shared" si="1000"/>
        <v>0</v>
      </c>
      <c r="AI308" s="18">
        <f t="shared" si="1000"/>
        <v>0</v>
      </c>
      <c r="AJ308" s="18">
        <f t="shared" si="1000"/>
        <v>0</v>
      </c>
      <c r="AK308" s="18">
        <f t="shared" si="1000"/>
        <v>0</v>
      </c>
      <c r="AL308" s="18">
        <f t="shared" ref="AL308:DA308" si="1001">SUM(AL309)</f>
        <v>0</v>
      </c>
      <c r="AM308" s="18">
        <f t="shared" si="1001"/>
        <v>0</v>
      </c>
      <c r="AN308" s="18">
        <f t="shared" si="1001"/>
        <v>0</v>
      </c>
      <c r="AO308" s="18">
        <f t="shared" si="1001"/>
        <v>0</v>
      </c>
      <c r="AP308" s="18">
        <f t="shared" si="1001"/>
        <v>0</v>
      </c>
      <c r="AQ308" s="18"/>
      <c r="AR308" s="18">
        <f t="shared" si="1001"/>
        <v>0</v>
      </c>
      <c r="AS308" s="18">
        <f t="shared" si="1001"/>
        <v>0</v>
      </c>
      <c r="AT308" s="18">
        <f t="shared" si="1001"/>
        <v>0</v>
      </c>
      <c r="AU308" s="18">
        <f t="shared" si="1001"/>
        <v>0</v>
      </c>
      <c r="AV308" s="18">
        <f t="shared" si="1001"/>
        <v>0</v>
      </c>
      <c r="AW308" s="18">
        <f t="shared" si="1001"/>
        <v>0</v>
      </c>
      <c r="AX308" s="18">
        <f t="shared" si="1001"/>
        <v>0</v>
      </c>
      <c r="AY308" s="18">
        <f t="shared" si="1001"/>
        <v>0</v>
      </c>
      <c r="AZ308" s="18"/>
      <c r="BA308" s="18">
        <f t="shared" si="1001"/>
        <v>4701028</v>
      </c>
      <c r="BB308" s="18">
        <f t="shared" si="1001"/>
        <v>0</v>
      </c>
      <c r="BC308" s="18">
        <f t="shared" si="1001"/>
        <v>0</v>
      </c>
      <c r="BD308" s="18">
        <f t="shared" si="1001"/>
        <v>0</v>
      </c>
      <c r="BE308" s="18">
        <f t="shared" si="1001"/>
        <v>0</v>
      </c>
      <c r="BF308" s="18">
        <f t="shared" si="1001"/>
        <v>0</v>
      </c>
      <c r="BG308" s="18">
        <f t="shared" si="1001"/>
        <v>0</v>
      </c>
      <c r="BH308" s="18">
        <f t="shared" si="1001"/>
        <v>0</v>
      </c>
      <c r="BI308" s="18">
        <f t="shared" si="1001"/>
        <v>0</v>
      </c>
      <c r="BJ308" s="18">
        <f t="shared" si="1001"/>
        <v>0</v>
      </c>
      <c r="BK308" s="18">
        <f t="shared" si="1001"/>
        <v>0</v>
      </c>
      <c r="BL308" s="18">
        <f t="shared" si="1001"/>
        <v>0</v>
      </c>
      <c r="BM308" s="18">
        <f t="shared" si="1001"/>
        <v>0</v>
      </c>
      <c r="BN308" s="18">
        <f t="shared" si="1001"/>
        <v>0</v>
      </c>
      <c r="BO308" s="18">
        <f t="shared" si="1001"/>
        <v>0</v>
      </c>
      <c r="BP308" s="18">
        <f t="shared" si="1001"/>
        <v>0</v>
      </c>
      <c r="BQ308" s="18">
        <f t="shared" si="1001"/>
        <v>0</v>
      </c>
      <c r="BR308" s="18">
        <f t="shared" si="1001"/>
        <v>0</v>
      </c>
      <c r="BS308" s="18">
        <f t="shared" si="1001"/>
        <v>0</v>
      </c>
      <c r="BT308" s="18">
        <f t="shared" si="1001"/>
        <v>0</v>
      </c>
      <c r="BU308" s="18">
        <f t="shared" si="1001"/>
        <v>0</v>
      </c>
      <c r="BV308" s="18">
        <f t="shared" si="1001"/>
        <v>0</v>
      </c>
      <c r="BW308" s="18">
        <f t="shared" si="1001"/>
        <v>0</v>
      </c>
      <c r="BX308" s="18">
        <f t="shared" si="1001"/>
        <v>0</v>
      </c>
      <c r="BY308" s="18">
        <f t="shared" si="1001"/>
        <v>0</v>
      </c>
      <c r="BZ308" s="18">
        <f t="shared" si="1001"/>
        <v>0</v>
      </c>
      <c r="CA308" s="18">
        <f t="shared" si="914"/>
        <v>304328355</v>
      </c>
      <c r="CB308" s="18">
        <f t="shared" si="1001"/>
        <v>293471521</v>
      </c>
      <c r="CC308" s="18">
        <f t="shared" si="1001"/>
        <v>9824596</v>
      </c>
      <c r="CD308" s="18">
        <f t="shared" si="1001"/>
        <v>0</v>
      </c>
      <c r="CE308" s="18">
        <f t="shared" si="1001"/>
        <v>9824596</v>
      </c>
      <c r="CF308" s="18">
        <f t="shared" si="1001"/>
        <v>166996758</v>
      </c>
      <c r="CG308" s="18">
        <f t="shared" si="1001"/>
        <v>0</v>
      </c>
      <c r="CH308" s="18">
        <f t="shared" si="1001"/>
        <v>150355065</v>
      </c>
      <c r="CI308" s="18">
        <f t="shared" si="1001"/>
        <v>14034780</v>
      </c>
      <c r="CJ308" s="18">
        <f t="shared" si="1001"/>
        <v>704413</v>
      </c>
      <c r="CK308" s="18">
        <f t="shared" si="1001"/>
        <v>1902500</v>
      </c>
      <c r="CL308" s="18">
        <f t="shared" si="1001"/>
        <v>116650167</v>
      </c>
      <c r="CM308" s="18">
        <f t="shared" si="1001"/>
        <v>0</v>
      </c>
      <c r="CN308" s="18">
        <f t="shared" si="1001"/>
        <v>102976345</v>
      </c>
      <c r="CO308" s="18">
        <f t="shared" si="1001"/>
        <v>11673822</v>
      </c>
      <c r="CP308" s="18">
        <f t="shared" si="1001"/>
        <v>0</v>
      </c>
      <c r="CQ308" s="18">
        <f t="shared" si="1001"/>
        <v>2000000</v>
      </c>
      <c r="CR308" s="18"/>
      <c r="CS308" s="18"/>
      <c r="CT308" s="18">
        <f t="shared" si="1001"/>
        <v>10856834</v>
      </c>
      <c r="CU308" s="18">
        <f t="shared" si="1001"/>
        <v>0</v>
      </c>
      <c r="CV308" s="18">
        <f t="shared" si="1001"/>
        <v>0</v>
      </c>
      <c r="CW308" s="18">
        <f t="shared" si="1001"/>
        <v>0</v>
      </c>
      <c r="CX308" s="18">
        <f t="shared" si="1001"/>
        <v>0</v>
      </c>
      <c r="CY308" s="18">
        <f t="shared" si="1001"/>
        <v>0</v>
      </c>
      <c r="CZ308" s="18">
        <f t="shared" si="1001"/>
        <v>0</v>
      </c>
      <c r="DA308" s="46">
        <f t="shared" si="1001"/>
        <v>0</v>
      </c>
    </row>
    <row r="309" spans="1:106" s="84" customFormat="1" ht="15.75" x14ac:dyDescent="0.25">
      <c r="A309" s="72" t="s">
        <v>1</v>
      </c>
      <c r="B309" s="21" t="s">
        <v>344</v>
      </c>
      <c r="C309" s="22" t="s">
        <v>343</v>
      </c>
      <c r="D309" s="18">
        <f>SUM(E309+CA309+CX309)</f>
        <v>309529383</v>
      </c>
      <c r="E309" s="19">
        <f>SUM(F309+BB309)</f>
        <v>5201028</v>
      </c>
      <c r="F309" s="19">
        <f>SUM(G309+H309+I309+P309+S309+T309+U309+AE309)</f>
        <v>5201028</v>
      </c>
      <c r="G309" s="19">
        <v>0</v>
      </c>
      <c r="H309" s="19">
        <v>0</v>
      </c>
      <c r="I309" s="19">
        <f t="shared" si="985"/>
        <v>500000</v>
      </c>
      <c r="J309" s="19">
        <f>3111047-3111047</f>
        <v>0</v>
      </c>
      <c r="K309" s="19"/>
      <c r="L309" s="19">
        <v>0</v>
      </c>
      <c r="M309" s="19">
        <v>0</v>
      </c>
      <c r="N309" s="19"/>
      <c r="O309" s="23">
        <f>0+500000</f>
        <v>500000</v>
      </c>
      <c r="P309" s="19">
        <f t="shared" si="986"/>
        <v>0</v>
      </c>
      <c r="Q309" s="19">
        <v>0</v>
      </c>
      <c r="R309" s="19">
        <v>0</v>
      </c>
      <c r="S309" s="19">
        <v>0</v>
      </c>
      <c r="T309" s="19">
        <v>0</v>
      </c>
      <c r="U309" s="19">
        <f t="shared" ref="U309" si="1002">SUM(V309:AC309)</f>
        <v>0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19">
        <v>0</v>
      </c>
      <c r="AE309" s="19">
        <f>SUM(AF309:BA309)</f>
        <v>4701028</v>
      </c>
      <c r="AF309" s="19">
        <v>0</v>
      </c>
      <c r="AG309" s="19">
        <v>0</v>
      </c>
      <c r="AH309" s="50">
        <v>0</v>
      </c>
      <c r="AI309" s="19">
        <v>0</v>
      </c>
      <c r="AJ309" s="19">
        <v>0</v>
      </c>
      <c r="AK309" s="19">
        <v>0</v>
      </c>
      <c r="AL309" s="19">
        <v>0</v>
      </c>
      <c r="AM309" s="19">
        <v>0</v>
      </c>
      <c r="AN309" s="19">
        <v>0</v>
      </c>
      <c r="AO309" s="19">
        <v>0</v>
      </c>
      <c r="AP309" s="19">
        <v>0</v>
      </c>
      <c r="AQ309" s="19"/>
      <c r="AR309" s="19">
        <v>0</v>
      </c>
      <c r="AS309" s="19">
        <v>0</v>
      </c>
      <c r="AT309" s="19">
        <v>0</v>
      </c>
      <c r="AU309" s="19">
        <v>0</v>
      </c>
      <c r="AV309" s="19">
        <v>0</v>
      </c>
      <c r="AW309" s="23">
        <v>0</v>
      </c>
      <c r="AX309" s="19">
        <v>0</v>
      </c>
      <c r="AY309" s="19">
        <v>0</v>
      </c>
      <c r="AZ309" s="19">
        <v>0</v>
      </c>
      <c r="BA309" s="19">
        <f>0+2300000+3000770+172189-771931</f>
        <v>4701028</v>
      </c>
      <c r="BB309" s="19">
        <f>SUM(BC309+BG309+BJ309+BL309+BO309)</f>
        <v>0</v>
      </c>
      <c r="BC309" s="19">
        <f>SUM(BD309:BF309)</f>
        <v>0</v>
      </c>
      <c r="BD309" s="19">
        <v>0</v>
      </c>
      <c r="BE309" s="19">
        <v>0</v>
      </c>
      <c r="BF309" s="19">
        <v>0</v>
      </c>
      <c r="BG309" s="19">
        <f>SUM(BI309:BI309)</f>
        <v>0</v>
      </c>
      <c r="BH309" s="19">
        <v>0</v>
      </c>
      <c r="BI309" s="19">
        <v>0</v>
      </c>
      <c r="BJ309" s="19">
        <v>0</v>
      </c>
      <c r="BK309" s="19">
        <v>0</v>
      </c>
      <c r="BL309" s="19">
        <f t="shared" si="988"/>
        <v>0</v>
      </c>
      <c r="BM309" s="19">
        <v>0</v>
      </c>
      <c r="BN309" s="19">
        <v>0</v>
      </c>
      <c r="BO309" s="19">
        <f>SUM(BP309:BZ309)</f>
        <v>0</v>
      </c>
      <c r="BP309" s="19">
        <v>0</v>
      </c>
      <c r="BQ309" s="19">
        <v>0</v>
      </c>
      <c r="BR309" s="19">
        <v>0</v>
      </c>
      <c r="BS309" s="19">
        <v>0</v>
      </c>
      <c r="BT309" s="19">
        <v>0</v>
      </c>
      <c r="BU309" s="19">
        <v>0</v>
      </c>
      <c r="BV309" s="19">
        <v>0</v>
      </c>
      <c r="BW309" s="23"/>
      <c r="BX309" s="19">
        <v>0</v>
      </c>
      <c r="BY309" s="19">
        <v>0</v>
      </c>
      <c r="BZ309" s="19">
        <v>0</v>
      </c>
      <c r="CA309" s="19">
        <f t="shared" si="914"/>
        <v>304328355</v>
      </c>
      <c r="CB309" s="19">
        <f>SUM(CC309+CF309+CL309)</f>
        <v>293471521</v>
      </c>
      <c r="CC309" s="19">
        <f t="shared" si="989"/>
        <v>9824596</v>
      </c>
      <c r="CD309" s="19"/>
      <c r="CE309" s="35">
        <f>0+8930796+1017300-123500</f>
        <v>9824596</v>
      </c>
      <c r="CF309" s="19">
        <f>SUM(CG309:CK309)</f>
        <v>166996758</v>
      </c>
      <c r="CG309" s="23">
        <f>217293935-217293935</f>
        <v>0</v>
      </c>
      <c r="CH309" s="23">
        <f>0+99338282+13895118+23422174+3257000+9670560+771931</f>
        <v>150355065</v>
      </c>
      <c r="CI309" s="65">
        <f>0+7062269+5050000+964805+834206+123500</f>
        <v>14034780</v>
      </c>
      <c r="CJ309" s="24">
        <f>0+521677+182736</f>
        <v>704413</v>
      </c>
      <c r="CK309" s="24">
        <f>0+1428500+474000</f>
        <v>1902500</v>
      </c>
      <c r="CL309" s="19">
        <f>SUM(CM309:CQ309)</f>
        <v>116650167</v>
      </c>
      <c r="CM309" s="24"/>
      <c r="CN309" s="24">
        <f>0+73317213+11077645+6924487+1000000+10657000</f>
        <v>102976345</v>
      </c>
      <c r="CO309" s="19">
        <f>0+12257608+551107-964805-834206+664118</f>
        <v>11673822</v>
      </c>
      <c r="CP309" s="19"/>
      <c r="CQ309" s="19">
        <f>0+2000000</f>
        <v>2000000</v>
      </c>
      <c r="CR309" s="19"/>
      <c r="CS309" s="19"/>
      <c r="CT309" s="19">
        <f>0+10659267+197567</f>
        <v>10856834</v>
      </c>
      <c r="CU309" s="19"/>
      <c r="CV309" s="19"/>
      <c r="CW309" s="19"/>
      <c r="CX309" s="19">
        <f t="shared" si="990"/>
        <v>0</v>
      </c>
      <c r="CY309" s="19">
        <f t="shared" si="991"/>
        <v>0</v>
      </c>
      <c r="CZ309" s="19">
        <v>0</v>
      </c>
      <c r="DA309" s="20">
        <v>0</v>
      </c>
    </row>
    <row r="310" spans="1:106" s="85" customFormat="1" ht="15.75" x14ac:dyDescent="0.25">
      <c r="A310" s="71" t="s">
        <v>345</v>
      </c>
      <c r="B310" s="16" t="s">
        <v>1</v>
      </c>
      <c r="C310" s="17" t="s">
        <v>346</v>
      </c>
      <c r="D310" s="18">
        <f t="shared" ref="D310:BR310" si="1003">SUM(D311)</f>
        <v>20867755</v>
      </c>
      <c r="E310" s="18">
        <f t="shared" si="1003"/>
        <v>20867755</v>
      </c>
      <c r="F310" s="18">
        <f t="shared" si="1003"/>
        <v>20867755</v>
      </c>
      <c r="G310" s="18">
        <f t="shared" si="1003"/>
        <v>0</v>
      </c>
      <c r="H310" s="18">
        <f t="shared" si="1003"/>
        <v>0</v>
      </c>
      <c r="I310" s="18">
        <f t="shared" si="1003"/>
        <v>0</v>
      </c>
      <c r="J310" s="18">
        <f t="shared" si="1003"/>
        <v>0</v>
      </c>
      <c r="K310" s="18">
        <f t="shared" si="1003"/>
        <v>0</v>
      </c>
      <c r="L310" s="18">
        <f t="shared" si="1003"/>
        <v>0</v>
      </c>
      <c r="M310" s="18">
        <f t="shared" si="1003"/>
        <v>0</v>
      </c>
      <c r="N310" s="18">
        <f t="shared" si="1003"/>
        <v>0</v>
      </c>
      <c r="O310" s="18">
        <f t="shared" si="1003"/>
        <v>0</v>
      </c>
      <c r="P310" s="18">
        <f t="shared" si="1003"/>
        <v>0</v>
      </c>
      <c r="Q310" s="18">
        <f t="shared" si="1003"/>
        <v>0</v>
      </c>
      <c r="R310" s="18">
        <f t="shared" si="1003"/>
        <v>0</v>
      </c>
      <c r="S310" s="18">
        <f t="shared" si="1003"/>
        <v>0</v>
      </c>
      <c r="T310" s="18">
        <f t="shared" si="1003"/>
        <v>0</v>
      </c>
      <c r="U310" s="18">
        <f t="shared" si="1003"/>
        <v>0</v>
      </c>
      <c r="V310" s="18">
        <f t="shared" si="1003"/>
        <v>0</v>
      </c>
      <c r="W310" s="18">
        <f t="shared" si="1003"/>
        <v>0</v>
      </c>
      <c r="X310" s="18">
        <f t="shared" si="1003"/>
        <v>0</v>
      </c>
      <c r="Y310" s="18">
        <f t="shared" si="1003"/>
        <v>0</v>
      </c>
      <c r="Z310" s="18">
        <f t="shared" si="1003"/>
        <v>0</v>
      </c>
      <c r="AA310" s="18">
        <f t="shared" si="1003"/>
        <v>0</v>
      </c>
      <c r="AB310" s="18">
        <f t="shared" si="1003"/>
        <v>0</v>
      </c>
      <c r="AC310" s="18">
        <f t="shared" si="1003"/>
        <v>0</v>
      </c>
      <c r="AD310" s="18">
        <f t="shared" si="1003"/>
        <v>0</v>
      </c>
      <c r="AE310" s="18">
        <f t="shared" si="1003"/>
        <v>20867755</v>
      </c>
      <c r="AF310" s="18">
        <f t="shared" si="1003"/>
        <v>0</v>
      </c>
      <c r="AG310" s="18">
        <f t="shared" si="1003"/>
        <v>0</v>
      </c>
      <c r="AH310" s="18">
        <f t="shared" si="1003"/>
        <v>0</v>
      </c>
      <c r="AI310" s="18">
        <f t="shared" si="1003"/>
        <v>0</v>
      </c>
      <c r="AJ310" s="18">
        <f t="shared" si="1003"/>
        <v>0</v>
      </c>
      <c r="AK310" s="18">
        <f t="shared" si="1003"/>
        <v>0</v>
      </c>
      <c r="AL310" s="18">
        <f t="shared" si="1003"/>
        <v>0</v>
      </c>
      <c r="AM310" s="18">
        <f t="shared" si="1003"/>
        <v>0</v>
      </c>
      <c r="AN310" s="18">
        <f t="shared" si="1003"/>
        <v>0</v>
      </c>
      <c r="AO310" s="18">
        <f t="shared" si="1003"/>
        <v>0</v>
      </c>
      <c r="AP310" s="18">
        <f t="shared" si="1003"/>
        <v>0</v>
      </c>
      <c r="AQ310" s="18"/>
      <c r="AR310" s="18">
        <f t="shared" si="1003"/>
        <v>0</v>
      </c>
      <c r="AS310" s="18">
        <f t="shared" si="1003"/>
        <v>0</v>
      </c>
      <c r="AT310" s="18">
        <f t="shared" si="1003"/>
        <v>0</v>
      </c>
      <c r="AU310" s="18">
        <f t="shared" si="1003"/>
        <v>0</v>
      </c>
      <c r="AV310" s="18">
        <f t="shared" si="1003"/>
        <v>0</v>
      </c>
      <c r="AW310" s="18">
        <f t="shared" si="1003"/>
        <v>0</v>
      </c>
      <c r="AX310" s="18">
        <f t="shared" si="1003"/>
        <v>0</v>
      </c>
      <c r="AY310" s="18">
        <f t="shared" si="1003"/>
        <v>0</v>
      </c>
      <c r="AZ310" s="18"/>
      <c r="BA310" s="18">
        <f t="shared" si="1003"/>
        <v>20867755</v>
      </c>
      <c r="BB310" s="18">
        <f t="shared" si="1003"/>
        <v>0</v>
      </c>
      <c r="BC310" s="18">
        <f t="shared" si="1003"/>
        <v>0</v>
      </c>
      <c r="BD310" s="18">
        <f t="shared" si="1003"/>
        <v>0</v>
      </c>
      <c r="BE310" s="18">
        <f t="shared" si="1003"/>
        <v>0</v>
      </c>
      <c r="BF310" s="18">
        <f t="shared" si="1003"/>
        <v>0</v>
      </c>
      <c r="BG310" s="18">
        <f t="shared" si="1003"/>
        <v>0</v>
      </c>
      <c r="BH310" s="18">
        <f t="shared" si="1003"/>
        <v>0</v>
      </c>
      <c r="BI310" s="18">
        <f t="shared" si="1003"/>
        <v>0</v>
      </c>
      <c r="BJ310" s="18">
        <f t="shared" si="1003"/>
        <v>0</v>
      </c>
      <c r="BK310" s="18">
        <f t="shared" si="1003"/>
        <v>0</v>
      </c>
      <c r="BL310" s="18">
        <f t="shared" si="1003"/>
        <v>0</v>
      </c>
      <c r="BM310" s="18">
        <f t="shared" si="1003"/>
        <v>0</v>
      </c>
      <c r="BN310" s="18">
        <f t="shared" si="1003"/>
        <v>0</v>
      </c>
      <c r="BO310" s="18">
        <f t="shared" si="1003"/>
        <v>0</v>
      </c>
      <c r="BP310" s="18">
        <f t="shared" si="1003"/>
        <v>0</v>
      </c>
      <c r="BQ310" s="18">
        <f t="shared" si="1003"/>
        <v>0</v>
      </c>
      <c r="BR310" s="18">
        <f t="shared" si="1003"/>
        <v>0</v>
      </c>
      <c r="BS310" s="18">
        <f t="shared" ref="BS310:DA310" si="1004">SUM(BS311)</f>
        <v>0</v>
      </c>
      <c r="BT310" s="18">
        <f t="shared" si="1004"/>
        <v>0</v>
      </c>
      <c r="BU310" s="18">
        <f t="shared" si="1004"/>
        <v>0</v>
      </c>
      <c r="BV310" s="18">
        <f t="shared" si="1004"/>
        <v>0</v>
      </c>
      <c r="BW310" s="18">
        <f t="shared" si="1004"/>
        <v>0</v>
      </c>
      <c r="BX310" s="18">
        <f t="shared" si="1004"/>
        <v>0</v>
      </c>
      <c r="BY310" s="18">
        <f t="shared" si="1004"/>
        <v>0</v>
      </c>
      <c r="BZ310" s="18">
        <f t="shared" si="1004"/>
        <v>0</v>
      </c>
      <c r="CA310" s="18">
        <f t="shared" si="914"/>
        <v>0</v>
      </c>
      <c r="CB310" s="18">
        <f t="shared" si="1004"/>
        <v>0</v>
      </c>
      <c r="CC310" s="18">
        <f t="shared" si="1004"/>
        <v>0</v>
      </c>
      <c r="CD310" s="18">
        <f t="shared" si="1004"/>
        <v>0</v>
      </c>
      <c r="CE310" s="18">
        <f t="shared" si="1004"/>
        <v>0</v>
      </c>
      <c r="CF310" s="18">
        <f t="shared" si="1004"/>
        <v>0</v>
      </c>
      <c r="CG310" s="18">
        <f t="shared" si="1004"/>
        <v>0</v>
      </c>
      <c r="CH310" s="18">
        <f t="shared" si="1004"/>
        <v>0</v>
      </c>
      <c r="CI310" s="18">
        <f t="shared" si="1004"/>
        <v>0</v>
      </c>
      <c r="CJ310" s="18">
        <f t="shared" si="1004"/>
        <v>0</v>
      </c>
      <c r="CK310" s="18">
        <f t="shared" si="1004"/>
        <v>0</v>
      </c>
      <c r="CL310" s="18">
        <f t="shared" si="1004"/>
        <v>0</v>
      </c>
      <c r="CM310" s="18">
        <f t="shared" si="1004"/>
        <v>0</v>
      </c>
      <c r="CN310" s="18">
        <f t="shared" si="1004"/>
        <v>0</v>
      </c>
      <c r="CO310" s="18">
        <f t="shared" si="1004"/>
        <v>0</v>
      </c>
      <c r="CP310" s="18"/>
      <c r="CQ310" s="18"/>
      <c r="CR310" s="18"/>
      <c r="CS310" s="18"/>
      <c r="CT310" s="18">
        <f t="shared" si="1004"/>
        <v>0</v>
      </c>
      <c r="CU310" s="18"/>
      <c r="CV310" s="18"/>
      <c r="CW310" s="18"/>
      <c r="CX310" s="18">
        <f t="shared" si="1004"/>
        <v>0</v>
      </c>
      <c r="CY310" s="18">
        <f t="shared" si="1004"/>
        <v>0</v>
      </c>
      <c r="CZ310" s="18">
        <f t="shared" si="1004"/>
        <v>0</v>
      </c>
      <c r="DA310" s="46">
        <f t="shared" si="1004"/>
        <v>0</v>
      </c>
    </row>
    <row r="311" spans="1:106" s="84" customFormat="1" ht="15.75" x14ac:dyDescent="0.25">
      <c r="A311" s="72" t="s">
        <v>1</v>
      </c>
      <c r="B311" s="21" t="s">
        <v>295</v>
      </c>
      <c r="C311" s="22" t="s">
        <v>346</v>
      </c>
      <c r="D311" s="18">
        <f>SUM(E311+CA311+CX311)</f>
        <v>20867755</v>
      </c>
      <c r="E311" s="19">
        <f>SUM(F311+BB311)</f>
        <v>20867755</v>
      </c>
      <c r="F311" s="19">
        <f>SUM(G311+H311+I311+P311+S311+T311+U311+AE311)</f>
        <v>20867755</v>
      </c>
      <c r="G311" s="19">
        <v>0</v>
      </c>
      <c r="H311" s="19">
        <v>0</v>
      </c>
      <c r="I311" s="19">
        <f t="shared" si="985"/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f t="shared" si="986"/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f t="shared" ref="U311" si="1005">SUM(V311:AC311)</f>
        <v>0</v>
      </c>
      <c r="V311" s="19">
        <v>0</v>
      </c>
      <c r="W311" s="19">
        <v>0</v>
      </c>
      <c r="X311" s="19">
        <v>0</v>
      </c>
      <c r="Y311" s="19">
        <v>0</v>
      </c>
      <c r="Z311" s="19">
        <v>0</v>
      </c>
      <c r="AA311" s="19">
        <v>0</v>
      </c>
      <c r="AB311" s="19">
        <v>0</v>
      </c>
      <c r="AC311" s="19">
        <v>0</v>
      </c>
      <c r="AD311" s="19">
        <v>0</v>
      </c>
      <c r="AE311" s="19">
        <f>SUM(AF311:BA311)</f>
        <v>20867755</v>
      </c>
      <c r="AF311" s="19">
        <v>0</v>
      </c>
      <c r="AG311" s="19">
        <v>0</v>
      </c>
      <c r="AH311" s="19">
        <v>0</v>
      </c>
      <c r="AI311" s="19">
        <v>0</v>
      </c>
      <c r="AJ311" s="19">
        <v>0</v>
      </c>
      <c r="AK311" s="19">
        <v>0</v>
      </c>
      <c r="AL311" s="19">
        <v>0</v>
      </c>
      <c r="AM311" s="19">
        <v>0</v>
      </c>
      <c r="AN311" s="19">
        <v>0</v>
      </c>
      <c r="AO311" s="19">
        <v>0</v>
      </c>
      <c r="AP311" s="19">
        <v>0</v>
      </c>
      <c r="AQ311" s="19"/>
      <c r="AR311" s="19">
        <v>0</v>
      </c>
      <c r="AS311" s="19">
        <v>0</v>
      </c>
      <c r="AT311" s="19">
        <v>0</v>
      </c>
      <c r="AU311" s="19">
        <v>0</v>
      </c>
      <c r="AV311" s="19">
        <v>0</v>
      </c>
      <c r="AW311" s="19">
        <v>0</v>
      </c>
      <c r="AX311" s="19">
        <v>0</v>
      </c>
      <c r="AY311" s="19">
        <v>0</v>
      </c>
      <c r="AZ311" s="19">
        <v>0</v>
      </c>
      <c r="BA311" s="23">
        <f>23661155-2793400</f>
        <v>20867755</v>
      </c>
      <c r="BB311" s="19">
        <f>SUM(BC311+BG311+BJ311+BL311+BO311)</f>
        <v>0</v>
      </c>
      <c r="BC311" s="19">
        <f>SUM(BD311:BF311)</f>
        <v>0</v>
      </c>
      <c r="BD311" s="19">
        <v>0</v>
      </c>
      <c r="BE311" s="19">
        <v>0</v>
      </c>
      <c r="BF311" s="19">
        <v>0</v>
      </c>
      <c r="BG311" s="19">
        <f>SUM(BI311:BI311)</f>
        <v>0</v>
      </c>
      <c r="BH311" s="19">
        <v>0</v>
      </c>
      <c r="BI311" s="19">
        <v>0</v>
      </c>
      <c r="BJ311" s="19">
        <v>0</v>
      </c>
      <c r="BK311" s="19">
        <v>0</v>
      </c>
      <c r="BL311" s="19">
        <f t="shared" si="988"/>
        <v>0</v>
      </c>
      <c r="BM311" s="19">
        <v>0</v>
      </c>
      <c r="BN311" s="19">
        <v>0</v>
      </c>
      <c r="BO311" s="19">
        <f>SUM(BP311:BZ311)</f>
        <v>0</v>
      </c>
      <c r="BP311" s="19">
        <v>0</v>
      </c>
      <c r="BQ311" s="19">
        <v>0</v>
      </c>
      <c r="BR311" s="19">
        <v>0</v>
      </c>
      <c r="BS311" s="19">
        <v>0</v>
      </c>
      <c r="BT311" s="19">
        <v>0</v>
      </c>
      <c r="BU311" s="19">
        <v>0</v>
      </c>
      <c r="BV311" s="19">
        <v>0</v>
      </c>
      <c r="BW311" s="19">
        <v>0</v>
      </c>
      <c r="BX311" s="19">
        <v>0</v>
      </c>
      <c r="BY311" s="19">
        <v>0</v>
      </c>
      <c r="BZ311" s="19">
        <v>0</v>
      </c>
      <c r="CA311" s="19">
        <f t="shared" si="914"/>
        <v>0</v>
      </c>
      <c r="CB311" s="19">
        <f>SUM(CC311+CF311+CL311)</f>
        <v>0</v>
      </c>
      <c r="CC311" s="19">
        <f t="shared" si="989"/>
        <v>0</v>
      </c>
      <c r="CD311" s="19">
        <v>0</v>
      </c>
      <c r="CE311" s="19">
        <v>0</v>
      </c>
      <c r="CF311" s="19">
        <f>SUM(CG311:CK311)</f>
        <v>0</v>
      </c>
      <c r="CG311" s="19">
        <v>0</v>
      </c>
      <c r="CH311" s="19">
        <v>0</v>
      </c>
      <c r="CI311" s="19">
        <v>0</v>
      </c>
      <c r="CJ311" s="19">
        <v>0</v>
      </c>
      <c r="CK311" s="19">
        <v>0</v>
      </c>
      <c r="CL311" s="19">
        <f>SUM(CM311:CQ311)</f>
        <v>0</v>
      </c>
      <c r="CM311" s="19">
        <v>0</v>
      </c>
      <c r="CN311" s="19">
        <v>0</v>
      </c>
      <c r="CO311" s="19">
        <v>0</v>
      </c>
      <c r="CP311" s="19"/>
      <c r="CQ311" s="19"/>
      <c r="CR311" s="19"/>
      <c r="CS311" s="19"/>
      <c r="CT311" s="19">
        <v>0</v>
      </c>
      <c r="CU311" s="19"/>
      <c r="CV311" s="19"/>
      <c r="CW311" s="19"/>
      <c r="CX311" s="19">
        <f t="shared" si="990"/>
        <v>0</v>
      </c>
      <c r="CY311" s="19">
        <f t="shared" si="991"/>
        <v>0</v>
      </c>
      <c r="CZ311" s="19">
        <v>0</v>
      </c>
      <c r="DA311" s="20">
        <v>0</v>
      </c>
    </row>
    <row r="312" spans="1:106" s="85" customFormat="1" ht="15.75" x14ac:dyDescent="0.25">
      <c r="A312" s="71" t="s">
        <v>347</v>
      </c>
      <c r="B312" s="16" t="s">
        <v>1</v>
      </c>
      <c r="C312" s="17" t="s">
        <v>348</v>
      </c>
      <c r="D312" s="18">
        <f t="shared" ref="D312:AK312" si="1006">SUM(D313)</f>
        <v>9044627</v>
      </c>
      <c r="E312" s="18">
        <f t="shared" si="1006"/>
        <v>9044627</v>
      </c>
      <c r="F312" s="18">
        <f t="shared" si="1006"/>
        <v>0</v>
      </c>
      <c r="G312" s="18">
        <f t="shared" si="1006"/>
        <v>0</v>
      </c>
      <c r="H312" s="18">
        <f t="shared" si="1006"/>
        <v>0</v>
      </c>
      <c r="I312" s="18">
        <f t="shared" si="1006"/>
        <v>0</v>
      </c>
      <c r="J312" s="18">
        <f t="shared" si="1006"/>
        <v>0</v>
      </c>
      <c r="K312" s="18">
        <f t="shared" si="1006"/>
        <v>0</v>
      </c>
      <c r="L312" s="18">
        <f t="shared" si="1006"/>
        <v>0</v>
      </c>
      <c r="M312" s="18">
        <f t="shared" si="1006"/>
        <v>0</v>
      </c>
      <c r="N312" s="18">
        <f t="shared" si="1006"/>
        <v>0</v>
      </c>
      <c r="O312" s="18">
        <f t="shared" si="1006"/>
        <v>0</v>
      </c>
      <c r="P312" s="18">
        <f t="shared" si="1006"/>
        <v>0</v>
      </c>
      <c r="Q312" s="18">
        <f t="shared" si="1006"/>
        <v>0</v>
      </c>
      <c r="R312" s="18">
        <f t="shared" si="1006"/>
        <v>0</v>
      </c>
      <c r="S312" s="18">
        <f t="shared" si="1006"/>
        <v>0</v>
      </c>
      <c r="T312" s="18">
        <f t="shared" si="1006"/>
        <v>0</v>
      </c>
      <c r="U312" s="18">
        <f t="shared" si="1006"/>
        <v>0</v>
      </c>
      <c r="V312" s="18">
        <f t="shared" si="1006"/>
        <v>0</v>
      </c>
      <c r="W312" s="18">
        <f t="shared" si="1006"/>
        <v>0</v>
      </c>
      <c r="X312" s="18">
        <f t="shared" si="1006"/>
        <v>0</v>
      </c>
      <c r="Y312" s="18">
        <f t="shared" si="1006"/>
        <v>0</v>
      </c>
      <c r="Z312" s="18">
        <f t="shared" si="1006"/>
        <v>0</v>
      </c>
      <c r="AA312" s="18">
        <f t="shared" si="1006"/>
        <v>0</v>
      </c>
      <c r="AB312" s="18">
        <f t="shared" si="1006"/>
        <v>0</v>
      </c>
      <c r="AC312" s="18">
        <f t="shared" si="1006"/>
        <v>0</v>
      </c>
      <c r="AD312" s="18">
        <f t="shared" si="1006"/>
        <v>0</v>
      </c>
      <c r="AE312" s="18">
        <f t="shared" si="1006"/>
        <v>0</v>
      </c>
      <c r="AF312" s="18">
        <f t="shared" si="1006"/>
        <v>0</v>
      </c>
      <c r="AG312" s="18">
        <f t="shared" si="1006"/>
        <v>0</v>
      </c>
      <c r="AH312" s="18">
        <f t="shared" si="1006"/>
        <v>0</v>
      </c>
      <c r="AI312" s="18">
        <f t="shared" si="1006"/>
        <v>0</v>
      </c>
      <c r="AJ312" s="18">
        <f t="shared" si="1006"/>
        <v>0</v>
      </c>
      <c r="AK312" s="18">
        <f t="shared" si="1006"/>
        <v>0</v>
      </c>
      <c r="AL312" s="18">
        <f t="shared" ref="AL312:DA312" si="1007">SUM(AL313)</f>
        <v>0</v>
      </c>
      <c r="AM312" s="18">
        <f t="shared" si="1007"/>
        <v>0</v>
      </c>
      <c r="AN312" s="18">
        <f t="shared" si="1007"/>
        <v>0</v>
      </c>
      <c r="AO312" s="18">
        <f t="shared" si="1007"/>
        <v>0</v>
      </c>
      <c r="AP312" s="18">
        <f t="shared" si="1007"/>
        <v>0</v>
      </c>
      <c r="AQ312" s="18"/>
      <c r="AR312" s="18">
        <f t="shared" si="1007"/>
        <v>0</v>
      </c>
      <c r="AS312" s="18">
        <f t="shared" si="1007"/>
        <v>0</v>
      </c>
      <c r="AT312" s="18">
        <f t="shared" si="1007"/>
        <v>0</v>
      </c>
      <c r="AU312" s="18">
        <f t="shared" si="1007"/>
        <v>0</v>
      </c>
      <c r="AV312" s="18">
        <f t="shared" si="1007"/>
        <v>0</v>
      </c>
      <c r="AW312" s="18">
        <f t="shared" si="1007"/>
        <v>0</v>
      </c>
      <c r="AX312" s="18">
        <f t="shared" si="1007"/>
        <v>0</v>
      </c>
      <c r="AY312" s="18">
        <f t="shared" si="1007"/>
        <v>0</v>
      </c>
      <c r="AZ312" s="18"/>
      <c r="BA312" s="18">
        <f t="shared" si="1007"/>
        <v>0</v>
      </c>
      <c r="BB312" s="18">
        <f t="shared" si="1007"/>
        <v>9044627</v>
      </c>
      <c r="BC312" s="18">
        <f t="shared" si="1007"/>
        <v>0</v>
      </c>
      <c r="BD312" s="18">
        <f t="shared" si="1007"/>
        <v>0</v>
      </c>
      <c r="BE312" s="18">
        <f t="shared" si="1007"/>
        <v>0</v>
      </c>
      <c r="BF312" s="18">
        <f t="shared" si="1007"/>
        <v>0</v>
      </c>
      <c r="BG312" s="18">
        <f t="shared" si="1007"/>
        <v>0</v>
      </c>
      <c r="BH312" s="18">
        <f t="shared" si="1007"/>
        <v>0</v>
      </c>
      <c r="BI312" s="18">
        <f t="shared" si="1007"/>
        <v>0</v>
      </c>
      <c r="BJ312" s="18">
        <f t="shared" si="1007"/>
        <v>0</v>
      </c>
      <c r="BK312" s="18">
        <f t="shared" si="1007"/>
        <v>0</v>
      </c>
      <c r="BL312" s="18">
        <f t="shared" si="1007"/>
        <v>0</v>
      </c>
      <c r="BM312" s="18">
        <f t="shared" si="1007"/>
        <v>0</v>
      </c>
      <c r="BN312" s="18">
        <f t="shared" si="1007"/>
        <v>0</v>
      </c>
      <c r="BO312" s="18">
        <f t="shared" si="1007"/>
        <v>9044627</v>
      </c>
      <c r="BP312" s="18">
        <f t="shared" si="1007"/>
        <v>0</v>
      </c>
      <c r="BQ312" s="18">
        <f t="shared" si="1007"/>
        <v>0</v>
      </c>
      <c r="BR312" s="18">
        <f t="shared" si="1007"/>
        <v>0</v>
      </c>
      <c r="BS312" s="18">
        <f t="shared" si="1007"/>
        <v>0</v>
      </c>
      <c r="BT312" s="18">
        <f t="shared" si="1007"/>
        <v>0</v>
      </c>
      <c r="BU312" s="18">
        <f t="shared" si="1007"/>
        <v>0</v>
      </c>
      <c r="BV312" s="18">
        <f t="shared" si="1007"/>
        <v>0</v>
      </c>
      <c r="BW312" s="18">
        <f t="shared" si="1007"/>
        <v>0</v>
      </c>
      <c r="BX312" s="18">
        <f t="shared" si="1007"/>
        <v>0</v>
      </c>
      <c r="BY312" s="18">
        <f t="shared" si="1007"/>
        <v>0</v>
      </c>
      <c r="BZ312" s="18">
        <f t="shared" si="1007"/>
        <v>9044627</v>
      </c>
      <c r="CA312" s="18">
        <f t="shared" si="914"/>
        <v>0</v>
      </c>
      <c r="CB312" s="18">
        <f t="shared" si="1007"/>
        <v>0</v>
      </c>
      <c r="CC312" s="18">
        <f t="shared" si="1007"/>
        <v>0</v>
      </c>
      <c r="CD312" s="18">
        <f t="shared" si="1007"/>
        <v>0</v>
      </c>
      <c r="CE312" s="18">
        <f t="shared" si="1007"/>
        <v>0</v>
      </c>
      <c r="CF312" s="18">
        <f t="shared" si="1007"/>
        <v>0</v>
      </c>
      <c r="CG312" s="18">
        <f t="shared" si="1007"/>
        <v>0</v>
      </c>
      <c r="CH312" s="18">
        <f t="shared" si="1007"/>
        <v>0</v>
      </c>
      <c r="CI312" s="18">
        <f t="shared" si="1007"/>
        <v>0</v>
      </c>
      <c r="CJ312" s="18">
        <f t="shared" si="1007"/>
        <v>0</v>
      </c>
      <c r="CK312" s="18">
        <f t="shared" si="1007"/>
        <v>0</v>
      </c>
      <c r="CL312" s="18">
        <f t="shared" si="1007"/>
        <v>0</v>
      </c>
      <c r="CM312" s="18">
        <f t="shared" si="1007"/>
        <v>0</v>
      </c>
      <c r="CN312" s="18">
        <f t="shared" si="1007"/>
        <v>0</v>
      </c>
      <c r="CO312" s="18">
        <f t="shared" si="1007"/>
        <v>0</v>
      </c>
      <c r="CP312" s="18"/>
      <c r="CQ312" s="18"/>
      <c r="CR312" s="18"/>
      <c r="CS312" s="18"/>
      <c r="CT312" s="18">
        <f t="shared" si="1007"/>
        <v>0</v>
      </c>
      <c r="CU312" s="18"/>
      <c r="CV312" s="18"/>
      <c r="CW312" s="18"/>
      <c r="CX312" s="18">
        <f t="shared" si="1007"/>
        <v>0</v>
      </c>
      <c r="CY312" s="18">
        <f t="shared" si="1007"/>
        <v>0</v>
      </c>
      <c r="CZ312" s="18">
        <f t="shared" si="1007"/>
        <v>0</v>
      </c>
      <c r="DA312" s="46">
        <f t="shared" si="1007"/>
        <v>0</v>
      </c>
    </row>
    <row r="313" spans="1:106" s="84" customFormat="1" ht="15.75" x14ac:dyDescent="0.25">
      <c r="A313" s="72" t="s">
        <v>1</v>
      </c>
      <c r="B313" s="21" t="s">
        <v>295</v>
      </c>
      <c r="C313" s="22" t="s">
        <v>348</v>
      </c>
      <c r="D313" s="18">
        <f>SUM(E313+CA313+CX313)</f>
        <v>9044627</v>
      </c>
      <c r="E313" s="19">
        <f>SUM(F313+BB313)</f>
        <v>9044627</v>
      </c>
      <c r="F313" s="19">
        <f>SUM(G313+H313+I313+P313+S313+T313+U313+AE313)</f>
        <v>0</v>
      </c>
      <c r="G313" s="19">
        <v>0</v>
      </c>
      <c r="H313" s="19">
        <v>0</v>
      </c>
      <c r="I313" s="19">
        <f t="shared" si="985"/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f t="shared" si="986"/>
        <v>0</v>
      </c>
      <c r="Q313" s="19">
        <v>0</v>
      </c>
      <c r="R313" s="19">
        <v>0</v>
      </c>
      <c r="S313" s="19">
        <v>0</v>
      </c>
      <c r="T313" s="19">
        <v>0</v>
      </c>
      <c r="U313" s="19">
        <f t="shared" ref="U313" si="1008">SUM(V313:AC313)</f>
        <v>0</v>
      </c>
      <c r="V313" s="19">
        <v>0</v>
      </c>
      <c r="W313" s="19">
        <v>0</v>
      </c>
      <c r="X313" s="19">
        <v>0</v>
      </c>
      <c r="Y313" s="19">
        <v>0</v>
      </c>
      <c r="Z313" s="19">
        <v>0</v>
      </c>
      <c r="AA313" s="19">
        <v>0</v>
      </c>
      <c r="AB313" s="19">
        <v>0</v>
      </c>
      <c r="AC313" s="19">
        <v>0</v>
      </c>
      <c r="AD313" s="19">
        <v>0</v>
      </c>
      <c r="AE313" s="19">
        <f>SUM(AF313:BA313)</f>
        <v>0</v>
      </c>
      <c r="AF313" s="19">
        <v>0</v>
      </c>
      <c r="AG313" s="19">
        <v>0</v>
      </c>
      <c r="AH313" s="19">
        <v>0</v>
      </c>
      <c r="AI313" s="19">
        <v>0</v>
      </c>
      <c r="AJ313" s="19">
        <v>0</v>
      </c>
      <c r="AK313" s="19">
        <v>0</v>
      </c>
      <c r="AL313" s="19">
        <v>0</v>
      </c>
      <c r="AM313" s="19">
        <v>0</v>
      </c>
      <c r="AN313" s="19">
        <v>0</v>
      </c>
      <c r="AO313" s="19">
        <v>0</v>
      </c>
      <c r="AP313" s="19">
        <v>0</v>
      </c>
      <c r="AQ313" s="19"/>
      <c r="AR313" s="19">
        <v>0</v>
      </c>
      <c r="AS313" s="19">
        <v>0</v>
      </c>
      <c r="AT313" s="19">
        <v>0</v>
      </c>
      <c r="AU313" s="19">
        <v>0</v>
      </c>
      <c r="AV313" s="19">
        <v>0</v>
      </c>
      <c r="AW313" s="19">
        <v>0</v>
      </c>
      <c r="AX313" s="19">
        <v>0</v>
      </c>
      <c r="AY313" s="19">
        <v>0</v>
      </c>
      <c r="AZ313" s="19"/>
      <c r="BA313" s="19">
        <v>0</v>
      </c>
      <c r="BB313" s="19">
        <f>SUM(BC313+BG313+BJ313+BL313+BO313)</f>
        <v>9044627</v>
      </c>
      <c r="BC313" s="19">
        <f>SUM(BD313:BF313)</f>
        <v>0</v>
      </c>
      <c r="BD313" s="19">
        <v>0</v>
      </c>
      <c r="BE313" s="19">
        <v>0</v>
      </c>
      <c r="BF313" s="19">
        <v>0</v>
      </c>
      <c r="BG313" s="19">
        <f>SUM(BI313:BI313)</f>
        <v>0</v>
      </c>
      <c r="BH313" s="19">
        <v>0</v>
      </c>
      <c r="BI313" s="19">
        <v>0</v>
      </c>
      <c r="BJ313" s="19">
        <v>0</v>
      </c>
      <c r="BK313" s="19">
        <v>0</v>
      </c>
      <c r="BL313" s="19">
        <f t="shared" si="988"/>
        <v>0</v>
      </c>
      <c r="BM313" s="19">
        <v>0</v>
      </c>
      <c r="BN313" s="19">
        <v>0</v>
      </c>
      <c r="BO313" s="19">
        <f>SUM(BP313:BZ313)</f>
        <v>9044627</v>
      </c>
      <c r="BP313" s="19">
        <v>0</v>
      </c>
      <c r="BQ313" s="19">
        <v>0</v>
      </c>
      <c r="BR313" s="19">
        <v>0</v>
      </c>
      <c r="BS313" s="19">
        <v>0</v>
      </c>
      <c r="BT313" s="19">
        <v>0</v>
      </c>
      <c r="BU313" s="19">
        <v>0</v>
      </c>
      <c r="BV313" s="19">
        <v>0</v>
      </c>
      <c r="BW313" s="19">
        <v>0</v>
      </c>
      <c r="BX313" s="19">
        <v>0</v>
      </c>
      <c r="BY313" s="19">
        <v>0</v>
      </c>
      <c r="BZ313" s="19">
        <f>10583290-1538663</f>
        <v>9044627</v>
      </c>
      <c r="CA313" s="19">
        <f t="shared" si="914"/>
        <v>0</v>
      </c>
      <c r="CB313" s="19">
        <f>SUM(CC313+CF313+CL313)</f>
        <v>0</v>
      </c>
      <c r="CC313" s="19">
        <f t="shared" si="989"/>
        <v>0</v>
      </c>
      <c r="CD313" s="19">
        <v>0</v>
      </c>
      <c r="CE313" s="19">
        <v>0</v>
      </c>
      <c r="CF313" s="19">
        <f>SUM(CG313:CK313)</f>
        <v>0</v>
      </c>
      <c r="CG313" s="19">
        <v>0</v>
      </c>
      <c r="CH313" s="19">
        <v>0</v>
      </c>
      <c r="CI313" s="19">
        <v>0</v>
      </c>
      <c r="CJ313" s="19">
        <v>0</v>
      </c>
      <c r="CK313" s="19">
        <v>0</v>
      </c>
      <c r="CL313" s="19">
        <f>SUM(CM313:CQ313)</f>
        <v>0</v>
      </c>
      <c r="CM313" s="19">
        <v>0</v>
      </c>
      <c r="CN313" s="19">
        <v>0</v>
      </c>
      <c r="CO313" s="19">
        <v>0</v>
      </c>
      <c r="CP313" s="19"/>
      <c r="CQ313" s="19"/>
      <c r="CR313" s="19"/>
      <c r="CS313" s="19"/>
      <c r="CT313" s="19">
        <v>0</v>
      </c>
      <c r="CU313" s="19"/>
      <c r="CV313" s="19"/>
      <c r="CW313" s="19"/>
      <c r="CX313" s="19">
        <f t="shared" si="990"/>
        <v>0</v>
      </c>
      <c r="CY313" s="19">
        <f t="shared" si="991"/>
        <v>0</v>
      </c>
      <c r="CZ313" s="19">
        <v>0</v>
      </c>
      <c r="DA313" s="20">
        <v>0</v>
      </c>
    </row>
    <row r="314" spans="1:106" s="86" customFormat="1" ht="15.75" x14ac:dyDescent="0.25">
      <c r="A314" s="71" t="s">
        <v>349</v>
      </c>
      <c r="B314" s="16" t="s">
        <v>1</v>
      </c>
      <c r="C314" s="30" t="s">
        <v>350</v>
      </c>
      <c r="D314" s="18">
        <f t="shared" ref="D314:AI314" si="1009">SUM(D315)</f>
        <v>20992850</v>
      </c>
      <c r="E314" s="18">
        <f t="shared" si="1009"/>
        <v>20992850</v>
      </c>
      <c r="F314" s="18">
        <f t="shared" si="1009"/>
        <v>20992850</v>
      </c>
      <c r="G314" s="18">
        <f t="shared" si="1009"/>
        <v>0</v>
      </c>
      <c r="H314" s="18">
        <f t="shared" si="1009"/>
        <v>0</v>
      </c>
      <c r="I314" s="18">
        <f t="shared" si="1009"/>
        <v>0</v>
      </c>
      <c r="J314" s="18">
        <f t="shared" si="1009"/>
        <v>0</v>
      </c>
      <c r="K314" s="18">
        <f t="shared" si="1009"/>
        <v>0</v>
      </c>
      <c r="L314" s="18">
        <f t="shared" si="1009"/>
        <v>0</v>
      </c>
      <c r="M314" s="18">
        <f t="shared" si="1009"/>
        <v>0</v>
      </c>
      <c r="N314" s="18">
        <f t="shared" si="1009"/>
        <v>0</v>
      </c>
      <c r="O314" s="18">
        <f t="shared" si="1009"/>
        <v>0</v>
      </c>
      <c r="P314" s="18">
        <f t="shared" si="1009"/>
        <v>0</v>
      </c>
      <c r="Q314" s="18">
        <f t="shared" si="1009"/>
        <v>0</v>
      </c>
      <c r="R314" s="18">
        <f t="shared" si="1009"/>
        <v>0</v>
      </c>
      <c r="S314" s="18">
        <f t="shared" si="1009"/>
        <v>0</v>
      </c>
      <c r="T314" s="18">
        <f t="shared" si="1009"/>
        <v>0</v>
      </c>
      <c r="U314" s="18">
        <f t="shared" si="1009"/>
        <v>0</v>
      </c>
      <c r="V314" s="18">
        <f t="shared" si="1009"/>
        <v>0</v>
      </c>
      <c r="W314" s="18">
        <f t="shared" si="1009"/>
        <v>0</v>
      </c>
      <c r="X314" s="18">
        <f t="shared" si="1009"/>
        <v>0</v>
      </c>
      <c r="Y314" s="18">
        <f t="shared" si="1009"/>
        <v>0</v>
      </c>
      <c r="Z314" s="18">
        <f t="shared" si="1009"/>
        <v>0</v>
      </c>
      <c r="AA314" s="18">
        <f t="shared" si="1009"/>
        <v>0</v>
      </c>
      <c r="AB314" s="18">
        <f t="shared" si="1009"/>
        <v>0</v>
      </c>
      <c r="AC314" s="18">
        <f t="shared" si="1009"/>
        <v>0</v>
      </c>
      <c r="AD314" s="18">
        <f t="shared" si="1009"/>
        <v>0</v>
      </c>
      <c r="AE314" s="18">
        <f t="shared" si="1009"/>
        <v>20992850</v>
      </c>
      <c r="AF314" s="18">
        <f t="shared" si="1009"/>
        <v>0</v>
      </c>
      <c r="AG314" s="18">
        <f t="shared" si="1009"/>
        <v>0</v>
      </c>
      <c r="AH314" s="18">
        <f t="shared" si="1009"/>
        <v>0</v>
      </c>
      <c r="AI314" s="18">
        <f t="shared" si="1009"/>
        <v>0</v>
      </c>
      <c r="AJ314" s="18">
        <f t="shared" ref="AJ314:CY314" si="1010">SUM(AJ315)</f>
        <v>0</v>
      </c>
      <c r="AK314" s="18">
        <f t="shared" si="1010"/>
        <v>0</v>
      </c>
      <c r="AL314" s="18">
        <f t="shared" si="1010"/>
        <v>0</v>
      </c>
      <c r="AM314" s="18">
        <f t="shared" si="1010"/>
        <v>0</v>
      </c>
      <c r="AN314" s="18">
        <f t="shared" si="1010"/>
        <v>0</v>
      </c>
      <c r="AO314" s="18">
        <f t="shared" si="1010"/>
        <v>0</v>
      </c>
      <c r="AP314" s="18">
        <f t="shared" si="1010"/>
        <v>0</v>
      </c>
      <c r="AQ314" s="18"/>
      <c r="AR314" s="18">
        <f t="shared" si="1010"/>
        <v>0</v>
      </c>
      <c r="AS314" s="18">
        <f t="shared" si="1010"/>
        <v>0</v>
      </c>
      <c r="AT314" s="18">
        <f t="shared" si="1010"/>
        <v>0</v>
      </c>
      <c r="AU314" s="18">
        <f t="shared" si="1010"/>
        <v>0</v>
      </c>
      <c r="AV314" s="18">
        <f t="shared" si="1010"/>
        <v>0</v>
      </c>
      <c r="AW314" s="18">
        <f t="shared" si="1010"/>
        <v>0</v>
      </c>
      <c r="AX314" s="18">
        <f t="shared" si="1010"/>
        <v>0</v>
      </c>
      <c r="AY314" s="18">
        <f t="shared" si="1010"/>
        <v>0</v>
      </c>
      <c r="AZ314" s="18"/>
      <c r="BA314" s="18">
        <f t="shared" si="1010"/>
        <v>20992850</v>
      </c>
      <c r="BB314" s="18">
        <f t="shared" si="1010"/>
        <v>0</v>
      </c>
      <c r="BC314" s="18">
        <f t="shared" si="1010"/>
        <v>0</v>
      </c>
      <c r="BD314" s="18">
        <f t="shared" si="1010"/>
        <v>0</v>
      </c>
      <c r="BE314" s="18">
        <f t="shared" si="1010"/>
        <v>0</v>
      </c>
      <c r="BF314" s="18">
        <f t="shared" si="1010"/>
        <v>0</v>
      </c>
      <c r="BG314" s="18">
        <f t="shared" si="1010"/>
        <v>0</v>
      </c>
      <c r="BH314" s="18">
        <f t="shared" si="1010"/>
        <v>0</v>
      </c>
      <c r="BI314" s="18">
        <f t="shared" si="1010"/>
        <v>0</v>
      </c>
      <c r="BJ314" s="18">
        <f t="shared" si="1010"/>
        <v>0</v>
      </c>
      <c r="BK314" s="18">
        <f t="shared" si="1010"/>
        <v>0</v>
      </c>
      <c r="BL314" s="18">
        <f t="shared" si="1010"/>
        <v>0</v>
      </c>
      <c r="BM314" s="18">
        <f t="shared" si="1010"/>
        <v>0</v>
      </c>
      <c r="BN314" s="18">
        <f t="shared" si="1010"/>
        <v>0</v>
      </c>
      <c r="BO314" s="18">
        <f t="shared" si="1010"/>
        <v>0</v>
      </c>
      <c r="BP314" s="18">
        <f t="shared" si="1010"/>
        <v>0</v>
      </c>
      <c r="BQ314" s="18">
        <f t="shared" si="1010"/>
        <v>0</v>
      </c>
      <c r="BR314" s="18">
        <f t="shared" si="1010"/>
        <v>0</v>
      </c>
      <c r="BS314" s="18">
        <f t="shared" si="1010"/>
        <v>0</v>
      </c>
      <c r="BT314" s="18">
        <f t="shared" si="1010"/>
        <v>0</v>
      </c>
      <c r="BU314" s="18">
        <f t="shared" si="1010"/>
        <v>0</v>
      </c>
      <c r="BV314" s="18">
        <f t="shared" si="1010"/>
        <v>0</v>
      </c>
      <c r="BW314" s="18">
        <f t="shared" si="1010"/>
        <v>0</v>
      </c>
      <c r="BX314" s="18">
        <f t="shared" si="1010"/>
        <v>0</v>
      </c>
      <c r="BY314" s="18">
        <f t="shared" si="1010"/>
        <v>0</v>
      </c>
      <c r="BZ314" s="18">
        <f t="shared" si="1010"/>
        <v>0</v>
      </c>
      <c r="CA314" s="18">
        <f t="shared" si="914"/>
        <v>0</v>
      </c>
      <c r="CB314" s="18">
        <f t="shared" si="1010"/>
        <v>0</v>
      </c>
      <c r="CC314" s="18">
        <f t="shared" si="1010"/>
        <v>0</v>
      </c>
      <c r="CD314" s="18">
        <f t="shared" si="1010"/>
        <v>0</v>
      </c>
      <c r="CE314" s="18">
        <f t="shared" si="1010"/>
        <v>0</v>
      </c>
      <c r="CF314" s="18">
        <f t="shared" si="1010"/>
        <v>0</v>
      </c>
      <c r="CG314" s="18">
        <f t="shared" si="1010"/>
        <v>0</v>
      </c>
      <c r="CH314" s="18">
        <f t="shared" si="1010"/>
        <v>0</v>
      </c>
      <c r="CI314" s="18">
        <f t="shared" si="1010"/>
        <v>0</v>
      </c>
      <c r="CJ314" s="18">
        <f t="shared" si="1010"/>
        <v>0</v>
      </c>
      <c r="CK314" s="18">
        <f t="shared" si="1010"/>
        <v>0</v>
      </c>
      <c r="CL314" s="18">
        <f t="shared" si="1010"/>
        <v>0</v>
      </c>
      <c r="CM314" s="18">
        <f t="shared" si="1010"/>
        <v>0</v>
      </c>
      <c r="CN314" s="18">
        <f t="shared" si="1010"/>
        <v>0</v>
      </c>
      <c r="CO314" s="18">
        <f t="shared" si="1010"/>
        <v>0</v>
      </c>
      <c r="CP314" s="18"/>
      <c r="CQ314" s="18"/>
      <c r="CR314" s="18"/>
      <c r="CS314" s="18"/>
      <c r="CT314" s="18">
        <f t="shared" si="1010"/>
        <v>0</v>
      </c>
      <c r="CU314" s="18"/>
      <c r="CV314" s="18"/>
      <c r="CW314" s="18"/>
      <c r="CX314" s="18">
        <f t="shared" si="1010"/>
        <v>0</v>
      </c>
      <c r="CY314" s="18">
        <f t="shared" si="1010"/>
        <v>0</v>
      </c>
      <c r="CZ314" s="18">
        <f t="shared" ref="CZ314:DA314" si="1011">SUM(CZ315)</f>
        <v>0</v>
      </c>
      <c r="DA314" s="46">
        <f t="shared" si="1011"/>
        <v>0</v>
      </c>
      <c r="DB314" s="85"/>
    </row>
    <row r="315" spans="1:106" ht="15.75" x14ac:dyDescent="0.25">
      <c r="A315" s="72" t="s">
        <v>1</v>
      </c>
      <c r="B315" s="21" t="s">
        <v>92</v>
      </c>
      <c r="C315" s="31" t="s">
        <v>350</v>
      </c>
      <c r="D315" s="18">
        <f>SUM(E315+CA315+CX315)</f>
        <v>20992850</v>
      </c>
      <c r="E315" s="19">
        <f>SUM(F315+BB315)</f>
        <v>20992850</v>
      </c>
      <c r="F315" s="19">
        <f>SUM(G315+H315+I315+P315+S315+T315+U315+AE315)</f>
        <v>20992850</v>
      </c>
      <c r="G315" s="19"/>
      <c r="H315" s="19"/>
      <c r="I315" s="19">
        <f>SUM(J315:O315)</f>
        <v>0</v>
      </c>
      <c r="J315" s="19"/>
      <c r="K315" s="19"/>
      <c r="L315" s="19"/>
      <c r="M315" s="19"/>
      <c r="N315" s="19"/>
      <c r="O315" s="19"/>
      <c r="P315" s="19">
        <f>SUM(Q315:R315)</f>
        <v>0</v>
      </c>
      <c r="Q315" s="19"/>
      <c r="R315" s="19"/>
      <c r="S315" s="19"/>
      <c r="T315" s="19"/>
      <c r="U315" s="19">
        <f t="shared" ref="U315" si="1012">SUM(V315:AC315)</f>
        <v>0</v>
      </c>
      <c r="V315" s="19"/>
      <c r="W315" s="19"/>
      <c r="X315" s="19"/>
      <c r="Y315" s="19"/>
      <c r="Z315" s="19"/>
      <c r="AA315" s="19"/>
      <c r="AB315" s="19"/>
      <c r="AC315" s="19"/>
      <c r="AD315" s="19">
        <v>0</v>
      </c>
      <c r="AE315" s="19">
        <f>SUM(AF315:BA315)</f>
        <v>20992850</v>
      </c>
      <c r="AF315" s="19">
        <v>0</v>
      </c>
      <c r="AG315" s="19">
        <v>0</v>
      </c>
      <c r="AH315" s="19">
        <v>0</v>
      </c>
      <c r="AI315" s="19">
        <v>0</v>
      </c>
      <c r="AJ315" s="19">
        <v>0</v>
      </c>
      <c r="AK315" s="19">
        <v>0</v>
      </c>
      <c r="AL315" s="19">
        <v>0</v>
      </c>
      <c r="AM315" s="19">
        <v>0</v>
      </c>
      <c r="AN315" s="19">
        <v>0</v>
      </c>
      <c r="AO315" s="19">
        <v>0</v>
      </c>
      <c r="AP315" s="19">
        <v>0</v>
      </c>
      <c r="AQ315" s="19"/>
      <c r="AR315" s="19">
        <v>0</v>
      </c>
      <c r="AS315" s="19">
        <v>0</v>
      </c>
      <c r="AT315" s="19">
        <v>0</v>
      </c>
      <c r="AU315" s="19">
        <v>0</v>
      </c>
      <c r="AV315" s="19">
        <v>0</v>
      </c>
      <c r="AW315" s="19">
        <v>0</v>
      </c>
      <c r="AX315" s="19">
        <v>0</v>
      </c>
      <c r="AY315" s="19">
        <v>0</v>
      </c>
      <c r="AZ315" s="19">
        <v>0</v>
      </c>
      <c r="BA315" s="24">
        <f>21928850-936000</f>
        <v>20992850</v>
      </c>
      <c r="BB315" s="19">
        <f>SUM(BC315+BG315+BJ315+BL315+BO315)</f>
        <v>0</v>
      </c>
      <c r="BC315" s="19">
        <f>SUM(BD315:BF315)</f>
        <v>0</v>
      </c>
      <c r="BD315" s="24"/>
      <c r="BE315" s="19">
        <v>0</v>
      </c>
      <c r="BF315" s="19">
        <v>0</v>
      </c>
      <c r="BG315" s="19">
        <f>SUM(BI315:BI315)</f>
        <v>0</v>
      </c>
      <c r="BH315" s="19">
        <v>0</v>
      </c>
      <c r="BI315" s="19">
        <v>0</v>
      </c>
      <c r="BJ315" s="19">
        <v>0</v>
      </c>
      <c r="BK315" s="19">
        <v>0</v>
      </c>
      <c r="BL315" s="19">
        <f>SUM(BM315)</f>
        <v>0</v>
      </c>
      <c r="BM315" s="19">
        <v>0</v>
      </c>
      <c r="BN315" s="19">
        <v>0</v>
      </c>
      <c r="BO315" s="19">
        <f>SUM(BP315:BZ315)</f>
        <v>0</v>
      </c>
      <c r="BP315" s="19">
        <v>0</v>
      </c>
      <c r="BQ315" s="19">
        <v>0</v>
      </c>
      <c r="BR315" s="19">
        <v>0</v>
      </c>
      <c r="BS315" s="19">
        <v>0</v>
      </c>
      <c r="BT315" s="19">
        <v>0</v>
      </c>
      <c r="BU315" s="19">
        <v>0</v>
      </c>
      <c r="BV315" s="19">
        <v>0</v>
      </c>
      <c r="BW315" s="19">
        <v>0</v>
      </c>
      <c r="BX315" s="19">
        <v>0</v>
      </c>
      <c r="BY315" s="19"/>
      <c r="BZ315" s="19"/>
      <c r="CA315" s="19">
        <f t="shared" si="914"/>
        <v>0</v>
      </c>
      <c r="CB315" s="19">
        <f>SUM(CC315+CF315+CL315)</f>
        <v>0</v>
      </c>
      <c r="CC315" s="19">
        <f>SUM(CD315:CE315)</f>
        <v>0</v>
      </c>
      <c r="CD315" s="19">
        <v>0</v>
      </c>
      <c r="CE315" s="19"/>
      <c r="CF315" s="19">
        <f>SUM(CG315:CK315)</f>
        <v>0</v>
      </c>
      <c r="CG315" s="19">
        <v>0</v>
      </c>
      <c r="CH315" s="19">
        <v>0</v>
      </c>
      <c r="CI315" s="19"/>
      <c r="CJ315" s="19"/>
      <c r="CK315" s="19"/>
      <c r="CL315" s="19">
        <f>SUM(CM315:CQ315)</f>
        <v>0</v>
      </c>
      <c r="CM315" s="19"/>
      <c r="CN315" s="19"/>
      <c r="CO315" s="19"/>
      <c r="CP315" s="19"/>
      <c r="CQ315" s="19"/>
      <c r="CR315" s="19"/>
      <c r="CS315" s="19"/>
      <c r="CT315" s="19">
        <v>0</v>
      </c>
      <c r="CU315" s="19"/>
      <c r="CV315" s="19"/>
      <c r="CW315" s="19"/>
      <c r="CX315" s="19">
        <f>SUM(CY315)</f>
        <v>0</v>
      </c>
      <c r="CY315" s="19">
        <f>SUM(CZ315:DA315)</f>
        <v>0</v>
      </c>
      <c r="CZ315" s="19">
        <v>0</v>
      </c>
      <c r="DA315" s="20">
        <v>0</v>
      </c>
    </row>
    <row r="316" spans="1:106" s="86" customFormat="1" ht="15.75" x14ac:dyDescent="0.25">
      <c r="A316" s="71" t="s">
        <v>351</v>
      </c>
      <c r="B316" s="16" t="s">
        <v>1</v>
      </c>
      <c r="C316" s="30" t="s">
        <v>352</v>
      </c>
      <c r="D316" s="18">
        <f t="shared" ref="D316:AK316" si="1013">SUM(D317)</f>
        <v>44572233</v>
      </c>
      <c r="E316" s="18">
        <f t="shared" si="1013"/>
        <v>44572233</v>
      </c>
      <c r="F316" s="18">
        <f t="shared" si="1013"/>
        <v>13234742</v>
      </c>
      <c r="G316" s="18">
        <f t="shared" si="1013"/>
        <v>0</v>
      </c>
      <c r="H316" s="18">
        <f t="shared" si="1013"/>
        <v>0</v>
      </c>
      <c r="I316" s="18">
        <f t="shared" si="1013"/>
        <v>0</v>
      </c>
      <c r="J316" s="18">
        <f t="shared" si="1013"/>
        <v>0</v>
      </c>
      <c r="K316" s="18">
        <f t="shared" si="1013"/>
        <v>0</v>
      </c>
      <c r="L316" s="18">
        <f t="shared" si="1013"/>
        <v>0</v>
      </c>
      <c r="M316" s="18">
        <f t="shared" si="1013"/>
        <v>0</v>
      </c>
      <c r="N316" s="18">
        <f t="shared" si="1013"/>
        <v>0</v>
      </c>
      <c r="O316" s="18">
        <f t="shared" si="1013"/>
        <v>0</v>
      </c>
      <c r="P316" s="18">
        <f t="shared" si="1013"/>
        <v>0</v>
      </c>
      <c r="Q316" s="18">
        <f t="shared" si="1013"/>
        <v>0</v>
      </c>
      <c r="R316" s="18">
        <f t="shared" si="1013"/>
        <v>0</v>
      </c>
      <c r="S316" s="18">
        <f t="shared" si="1013"/>
        <v>0</v>
      </c>
      <c r="T316" s="18">
        <f t="shared" si="1013"/>
        <v>0</v>
      </c>
      <c r="U316" s="18">
        <f t="shared" si="1013"/>
        <v>0</v>
      </c>
      <c r="V316" s="18">
        <f t="shared" si="1013"/>
        <v>0</v>
      </c>
      <c r="W316" s="18">
        <f t="shared" si="1013"/>
        <v>0</v>
      </c>
      <c r="X316" s="18">
        <f t="shared" si="1013"/>
        <v>0</v>
      </c>
      <c r="Y316" s="18">
        <f t="shared" si="1013"/>
        <v>0</v>
      </c>
      <c r="Z316" s="18">
        <f t="shared" si="1013"/>
        <v>0</v>
      </c>
      <c r="AA316" s="18">
        <f t="shared" si="1013"/>
        <v>0</v>
      </c>
      <c r="AB316" s="18">
        <f t="shared" si="1013"/>
        <v>0</v>
      </c>
      <c r="AC316" s="18">
        <f t="shared" si="1013"/>
        <v>0</v>
      </c>
      <c r="AD316" s="18">
        <f t="shared" si="1013"/>
        <v>0</v>
      </c>
      <c r="AE316" s="18">
        <f t="shared" si="1013"/>
        <v>13234742</v>
      </c>
      <c r="AF316" s="18">
        <f t="shared" si="1013"/>
        <v>0</v>
      </c>
      <c r="AG316" s="18">
        <f t="shared" si="1013"/>
        <v>0</v>
      </c>
      <c r="AH316" s="18">
        <f t="shared" si="1013"/>
        <v>0</v>
      </c>
      <c r="AI316" s="18">
        <f t="shared" si="1013"/>
        <v>0</v>
      </c>
      <c r="AJ316" s="18">
        <f t="shared" si="1013"/>
        <v>0</v>
      </c>
      <c r="AK316" s="18">
        <f t="shared" si="1013"/>
        <v>0</v>
      </c>
      <c r="AL316" s="18">
        <f t="shared" ref="AL316:DA316" si="1014">SUM(AL317)</f>
        <v>0</v>
      </c>
      <c r="AM316" s="18">
        <f t="shared" si="1014"/>
        <v>0</v>
      </c>
      <c r="AN316" s="18">
        <f t="shared" si="1014"/>
        <v>0</v>
      </c>
      <c r="AO316" s="18">
        <f t="shared" si="1014"/>
        <v>0</v>
      </c>
      <c r="AP316" s="18">
        <f t="shared" si="1014"/>
        <v>0</v>
      </c>
      <c r="AQ316" s="18"/>
      <c r="AR316" s="18">
        <f t="shared" si="1014"/>
        <v>0</v>
      </c>
      <c r="AS316" s="18">
        <f t="shared" si="1014"/>
        <v>0</v>
      </c>
      <c r="AT316" s="18">
        <f t="shared" si="1014"/>
        <v>0</v>
      </c>
      <c r="AU316" s="18">
        <f t="shared" si="1014"/>
        <v>0</v>
      </c>
      <c r="AV316" s="18">
        <f t="shared" si="1014"/>
        <v>0</v>
      </c>
      <c r="AW316" s="18">
        <f t="shared" si="1014"/>
        <v>0</v>
      </c>
      <c r="AX316" s="18">
        <f t="shared" si="1014"/>
        <v>0</v>
      </c>
      <c r="AY316" s="18">
        <f t="shared" si="1014"/>
        <v>0</v>
      </c>
      <c r="AZ316" s="18"/>
      <c r="BA316" s="18">
        <f t="shared" si="1014"/>
        <v>13234742</v>
      </c>
      <c r="BB316" s="18">
        <f t="shared" si="1014"/>
        <v>31337491</v>
      </c>
      <c r="BC316" s="18">
        <f t="shared" si="1014"/>
        <v>31337491</v>
      </c>
      <c r="BD316" s="18">
        <f t="shared" si="1014"/>
        <v>31337491</v>
      </c>
      <c r="BE316" s="18">
        <f t="shared" si="1014"/>
        <v>0</v>
      </c>
      <c r="BF316" s="18">
        <f t="shared" si="1014"/>
        <v>0</v>
      </c>
      <c r="BG316" s="18">
        <f t="shared" si="1014"/>
        <v>0</v>
      </c>
      <c r="BH316" s="18">
        <f t="shared" si="1014"/>
        <v>0</v>
      </c>
      <c r="BI316" s="18">
        <f t="shared" si="1014"/>
        <v>0</v>
      </c>
      <c r="BJ316" s="18">
        <f t="shared" si="1014"/>
        <v>0</v>
      </c>
      <c r="BK316" s="18">
        <f t="shared" si="1014"/>
        <v>0</v>
      </c>
      <c r="BL316" s="18">
        <f t="shared" si="1014"/>
        <v>0</v>
      </c>
      <c r="BM316" s="18">
        <f t="shared" si="1014"/>
        <v>0</v>
      </c>
      <c r="BN316" s="18">
        <f t="shared" si="1014"/>
        <v>0</v>
      </c>
      <c r="BO316" s="18">
        <f t="shared" si="1014"/>
        <v>0</v>
      </c>
      <c r="BP316" s="18">
        <f t="shared" si="1014"/>
        <v>0</v>
      </c>
      <c r="BQ316" s="18">
        <f t="shared" si="1014"/>
        <v>0</v>
      </c>
      <c r="BR316" s="18">
        <f t="shared" si="1014"/>
        <v>0</v>
      </c>
      <c r="BS316" s="18">
        <f t="shared" si="1014"/>
        <v>0</v>
      </c>
      <c r="BT316" s="18">
        <f t="shared" si="1014"/>
        <v>0</v>
      </c>
      <c r="BU316" s="18">
        <f t="shared" si="1014"/>
        <v>0</v>
      </c>
      <c r="BV316" s="18">
        <f t="shared" si="1014"/>
        <v>0</v>
      </c>
      <c r="BW316" s="18">
        <f t="shared" si="1014"/>
        <v>0</v>
      </c>
      <c r="BX316" s="18">
        <f t="shared" si="1014"/>
        <v>0</v>
      </c>
      <c r="BY316" s="18">
        <f t="shared" si="1014"/>
        <v>0</v>
      </c>
      <c r="BZ316" s="18">
        <f t="shared" si="1014"/>
        <v>0</v>
      </c>
      <c r="CA316" s="18">
        <f t="shared" si="914"/>
        <v>0</v>
      </c>
      <c r="CB316" s="18">
        <f t="shared" si="1014"/>
        <v>0</v>
      </c>
      <c r="CC316" s="18">
        <f t="shared" si="1014"/>
        <v>0</v>
      </c>
      <c r="CD316" s="18">
        <f t="shared" si="1014"/>
        <v>0</v>
      </c>
      <c r="CE316" s="18">
        <f t="shared" si="1014"/>
        <v>0</v>
      </c>
      <c r="CF316" s="18">
        <f t="shared" si="1014"/>
        <v>0</v>
      </c>
      <c r="CG316" s="18">
        <f t="shared" si="1014"/>
        <v>0</v>
      </c>
      <c r="CH316" s="18">
        <f t="shared" si="1014"/>
        <v>0</v>
      </c>
      <c r="CI316" s="18">
        <f t="shared" si="1014"/>
        <v>0</v>
      </c>
      <c r="CJ316" s="18">
        <f t="shared" si="1014"/>
        <v>0</v>
      </c>
      <c r="CK316" s="18">
        <f t="shared" si="1014"/>
        <v>0</v>
      </c>
      <c r="CL316" s="18">
        <f t="shared" si="1014"/>
        <v>0</v>
      </c>
      <c r="CM316" s="18">
        <f t="shared" si="1014"/>
        <v>0</v>
      </c>
      <c r="CN316" s="18">
        <f t="shared" si="1014"/>
        <v>0</v>
      </c>
      <c r="CO316" s="18">
        <f t="shared" si="1014"/>
        <v>0</v>
      </c>
      <c r="CP316" s="18"/>
      <c r="CQ316" s="18"/>
      <c r="CR316" s="18"/>
      <c r="CS316" s="18"/>
      <c r="CT316" s="18">
        <f t="shared" si="1014"/>
        <v>0</v>
      </c>
      <c r="CU316" s="18"/>
      <c r="CV316" s="18"/>
      <c r="CW316" s="18"/>
      <c r="CX316" s="18">
        <f t="shared" si="1014"/>
        <v>0</v>
      </c>
      <c r="CY316" s="18">
        <f t="shared" si="1014"/>
        <v>0</v>
      </c>
      <c r="CZ316" s="18">
        <f t="shared" si="1014"/>
        <v>0</v>
      </c>
      <c r="DA316" s="46">
        <f t="shared" si="1014"/>
        <v>0</v>
      </c>
      <c r="DB316" s="85"/>
    </row>
    <row r="317" spans="1:106" ht="15.75" x14ac:dyDescent="0.25">
      <c r="A317" s="72" t="s">
        <v>1</v>
      </c>
      <c r="B317" s="21" t="s">
        <v>92</v>
      </c>
      <c r="C317" s="31" t="s">
        <v>352</v>
      </c>
      <c r="D317" s="18">
        <f>SUM(E317+CA317+CX317)</f>
        <v>44572233</v>
      </c>
      <c r="E317" s="19">
        <f>SUM(F317+BB317)</f>
        <v>44572233</v>
      </c>
      <c r="F317" s="19">
        <f>SUM(G317+H317+I317+P317+S317+T317+U317+AE317)</f>
        <v>13234742</v>
      </c>
      <c r="G317" s="19">
        <v>0</v>
      </c>
      <c r="H317" s="19">
        <v>0</v>
      </c>
      <c r="I317" s="19">
        <f t="shared" si="985"/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f t="shared" si="986"/>
        <v>0</v>
      </c>
      <c r="Q317" s="19">
        <v>0</v>
      </c>
      <c r="R317" s="19">
        <v>0</v>
      </c>
      <c r="S317" s="19">
        <v>0</v>
      </c>
      <c r="T317" s="19">
        <v>0</v>
      </c>
      <c r="U317" s="19">
        <f t="shared" ref="U317" si="1015">SUM(V317:AC317)</f>
        <v>0</v>
      </c>
      <c r="V317" s="19">
        <v>0</v>
      </c>
      <c r="W317" s="19">
        <v>0</v>
      </c>
      <c r="X317" s="19">
        <v>0</v>
      </c>
      <c r="Y317" s="19">
        <v>0</v>
      </c>
      <c r="Z317" s="19">
        <v>0</v>
      </c>
      <c r="AA317" s="19">
        <v>0</v>
      </c>
      <c r="AB317" s="19">
        <v>0</v>
      </c>
      <c r="AC317" s="19">
        <v>0</v>
      </c>
      <c r="AD317" s="19">
        <v>0</v>
      </c>
      <c r="AE317" s="19">
        <f>SUM(AF317:BA317)</f>
        <v>13234742</v>
      </c>
      <c r="AF317" s="19">
        <v>0</v>
      </c>
      <c r="AG317" s="19">
        <v>0</v>
      </c>
      <c r="AH317" s="19">
        <v>0</v>
      </c>
      <c r="AI317" s="19">
        <v>0</v>
      </c>
      <c r="AJ317" s="19">
        <v>0</v>
      </c>
      <c r="AK317" s="19">
        <v>0</v>
      </c>
      <c r="AL317" s="19">
        <v>0</v>
      </c>
      <c r="AM317" s="19">
        <v>0</v>
      </c>
      <c r="AN317" s="19">
        <v>0</v>
      </c>
      <c r="AO317" s="19">
        <v>0</v>
      </c>
      <c r="AP317" s="19">
        <v>0</v>
      </c>
      <c r="AQ317" s="19"/>
      <c r="AR317" s="19">
        <v>0</v>
      </c>
      <c r="AS317" s="19">
        <v>0</v>
      </c>
      <c r="AT317" s="19">
        <v>0</v>
      </c>
      <c r="AU317" s="19">
        <v>0</v>
      </c>
      <c r="AV317" s="19">
        <v>0</v>
      </c>
      <c r="AW317" s="19">
        <v>0</v>
      </c>
      <c r="AX317" s="19">
        <v>0</v>
      </c>
      <c r="AY317" s="19">
        <v>0</v>
      </c>
      <c r="AZ317" s="19">
        <v>0</v>
      </c>
      <c r="BA317" s="23">
        <f>14010000+472857-1248115</f>
        <v>13234742</v>
      </c>
      <c r="BB317" s="19">
        <f>SUM(BC317+BG317+BJ317+BL317+BO317)</f>
        <v>31337491</v>
      </c>
      <c r="BC317" s="19">
        <f>SUM(BD317:BF317)</f>
        <v>31337491</v>
      </c>
      <c r="BD317" s="23">
        <f>32005000-667509</f>
        <v>31337491</v>
      </c>
      <c r="BE317" s="19">
        <v>0</v>
      </c>
      <c r="BF317" s="19">
        <v>0</v>
      </c>
      <c r="BG317" s="19">
        <f>SUM(BI317:BI317)</f>
        <v>0</v>
      </c>
      <c r="BH317" s="19">
        <v>0</v>
      </c>
      <c r="BI317" s="19">
        <v>0</v>
      </c>
      <c r="BJ317" s="19"/>
      <c r="BK317" s="19">
        <v>0</v>
      </c>
      <c r="BL317" s="19">
        <f t="shared" si="988"/>
        <v>0</v>
      </c>
      <c r="BM317" s="19">
        <v>0</v>
      </c>
      <c r="BN317" s="19">
        <v>0</v>
      </c>
      <c r="BO317" s="19">
        <f>SUM(BP317:BZ317)</f>
        <v>0</v>
      </c>
      <c r="BP317" s="19">
        <v>0</v>
      </c>
      <c r="BQ317" s="19">
        <v>0</v>
      </c>
      <c r="BR317" s="19">
        <v>0</v>
      </c>
      <c r="BS317" s="19">
        <v>0</v>
      </c>
      <c r="BT317" s="19">
        <v>0</v>
      </c>
      <c r="BU317" s="19">
        <v>0</v>
      </c>
      <c r="BV317" s="19">
        <v>0</v>
      </c>
      <c r="BW317" s="19">
        <v>0</v>
      </c>
      <c r="BX317" s="19">
        <v>0</v>
      </c>
      <c r="BY317" s="19">
        <v>0</v>
      </c>
      <c r="BZ317" s="19">
        <v>0</v>
      </c>
      <c r="CA317" s="19">
        <f t="shared" si="914"/>
        <v>0</v>
      </c>
      <c r="CB317" s="19">
        <f>SUM(CC317+CF317+CL317)</f>
        <v>0</v>
      </c>
      <c r="CC317" s="19">
        <f t="shared" si="989"/>
        <v>0</v>
      </c>
      <c r="CD317" s="19">
        <v>0</v>
      </c>
      <c r="CE317" s="19">
        <v>0</v>
      </c>
      <c r="CF317" s="19">
        <f>SUM(CG317:CK317)</f>
        <v>0</v>
      </c>
      <c r="CG317" s="19">
        <v>0</v>
      </c>
      <c r="CH317" s="19">
        <v>0</v>
      </c>
      <c r="CI317" s="19">
        <v>0</v>
      </c>
      <c r="CJ317" s="19">
        <v>0</v>
      </c>
      <c r="CK317" s="19">
        <v>0</v>
      </c>
      <c r="CL317" s="19">
        <f>SUM(CM317:CQ317)</f>
        <v>0</v>
      </c>
      <c r="CM317" s="19">
        <v>0</v>
      </c>
      <c r="CN317" s="19">
        <v>0</v>
      </c>
      <c r="CO317" s="19">
        <v>0</v>
      </c>
      <c r="CP317" s="19"/>
      <c r="CQ317" s="19"/>
      <c r="CR317" s="19"/>
      <c r="CS317" s="19"/>
      <c r="CT317" s="19">
        <v>0</v>
      </c>
      <c r="CU317" s="19"/>
      <c r="CV317" s="19"/>
      <c r="CW317" s="19"/>
      <c r="CX317" s="19">
        <f t="shared" si="990"/>
        <v>0</v>
      </c>
      <c r="CY317" s="19">
        <f t="shared" si="991"/>
        <v>0</v>
      </c>
      <c r="CZ317" s="19">
        <v>0</v>
      </c>
      <c r="DA317" s="20">
        <v>0</v>
      </c>
    </row>
    <row r="318" spans="1:106" s="86" customFormat="1" ht="16.5" thickBot="1" x14ac:dyDescent="0.3">
      <c r="A318" s="77" t="s">
        <v>1</v>
      </c>
      <c r="B318" s="47" t="s">
        <v>1</v>
      </c>
      <c r="C318" s="48" t="s">
        <v>353</v>
      </c>
      <c r="D318" s="49">
        <f>D10+D42+D53+D56+D61+D79+D93+D96+D99+D106+D118+D139+D153+D162+D175+D209+D215+D219+D286+D289+D212</f>
        <v>5682903263</v>
      </c>
      <c r="E318" s="49">
        <f t="shared" ref="E318:AK318" si="1016">E10+E42+E53+E56+E61+E79+E93+E96+E99+E106+E118+E139+E153+E162+E175+E209+E215+E219+E286+E289</f>
        <v>4850548020</v>
      </c>
      <c r="F318" s="49">
        <f t="shared" si="1016"/>
        <v>3292976125</v>
      </c>
      <c r="G318" s="49">
        <f t="shared" si="1016"/>
        <v>1880050222</v>
      </c>
      <c r="H318" s="49">
        <f t="shared" si="1016"/>
        <v>301029060</v>
      </c>
      <c r="I318" s="49">
        <f t="shared" si="1016"/>
        <v>479531931</v>
      </c>
      <c r="J318" s="49">
        <f t="shared" si="1016"/>
        <v>129849109</v>
      </c>
      <c r="K318" s="49">
        <f t="shared" si="1016"/>
        <v>70708747</v>
      </c>
      <c r="L318" s="49">
        <f t="shared" si="1016"/>
        <v>97457797</v>
      </c>
      <c r="M318" s="49">
        <f t="shared" si="1016"/>
        <v>9479589</v>
      </c>
      <c r="N318" s="49">
        <f t="shared" si="1016"/>
        <v>109020820</v>
      </c>
      <c r="O318" s="49">
        <f t="shared" si="1016"/>
        <v>63015869</v>
      </c>
      <c r="P318" s="49">
        <f t="shared" si="1016"/>
        <v>10448687</v>
      </c>
      <c r="Q318" s="49">
        <f t="shared" si="1016"/>
        <v>322621</v>
      </c>
      <c r="R318" s="49">
        <f t="shared" si="1016"/>
        <v>10126066</v>
      </c>
      <c r="S318" s="49">
        <f t="shared" si="1016"/>
        <v>390509</v>
      </c>
      <c r="T318" s="49">
        <f t="shared" si="1016"/>
        <v>14652580</v>
      </c>
      <c r="U318" s="49">
        <f t="shared" si="1016"/>
        <v>194922138</v>
      </c>
      <c r="V318" s="49">
        <f t="shared" si="1016"/>
        <v>8041761</v>
      </c>
      <c r="W318" s="49">
        <f t="shared" si="1016"/>
        <v>29786023</v>
      </c>
      <c r="X318" s="49">
        <f t="shared" si="1016"/>
        <v>24115990</v>
      </c>
      <c r="Y318" s="49">
        <f t="shared" si="1016"/>
        <v>13126762</v>
      </c>
      <c r="Z318" s="49">
        <f t="shared" si="1016"/>
        <v>2540354</v>
      </c>
      <c r="AA318" s="49">
        <f t="shared" si="1016"/>
        <v>1461059</v>
      </c>
      <c r="AB318" s="49">
        <f t="shared" si="1016"/>
        <v>114296960</v>
      </c>
      <c r="AC318" s="49">
        <f t="shared" si="1016"/>
        <v>1553229</v>
      </c>
      <c r="AD318" s="49">
        <f t="shared" ref="AD318" si="1017">AD10+AD42+AD53+AD56+AD61+AD79+AD93+AD96+AD99+AD106+AD118+AD139+AD153+AD162+AD175+AD209+AD215+AD219+AD286+AD289</f>
        <v>50918</v>
      </c>
      <c r="AE318" s="49">
        <f t="shared" si="1016"/>
        <v>411900080</v>
      </c>
      <c r="AF318" s="49">
        <f t="shared" si="1016"/>
        <v>76256</v>
      </c>
      <c r="AG318" s="49">
        <f t="shared" si="1016"/>
        <v>12588141</v>
      </c>
      <c r="AH318" s="49">
        <f t="shared" si="1016"/>
        <v>6974239</v>
      </c>
      <c r="AI318" s="49">
        <f t="shared" si="1016"/>
        <v>20730376</v>
      </c>
      <c r="AJ318" s="49">
        <f t="shared" si="1016"/>
        <v>1125155</v>
      </c>
      <c r="AK318" s="49">
        <f t="shared" si="1016"/>
        <v>2691729</v>
      </c>
      <c r="AL318" s="49">
        <f t="shared" ref="AL318:BQ318" si="1018">AL10+AL42+AL53+AL56+AL61+AL79+AL93+AL96+AL99+AL106+AL118+AL139+AL153+AL162+AL175+AL209+AL215+AL219+AL286+AL289</f>
        <v>1170694</v>
      </c>
      <c r="AM318" s="49">
        <f t="shared" si="1018"/>
        <v>1564761</v>
      </c>
      <c r="AN318" s="49">
        <f t="shared" si="1018"/>
        <v>8732725</v>
      </c>
      <c r="AO318" s="49">
        <f t="shared" si="1018"/>
        <v>8803769</v>
      </c>
      <c r="AP318" s="49">
        <f t="shared" si="1018"/>
        <v>87897</v>
      </c>
      <c r="AQ318" s="49">
        <f t="shared" si="1018"/>
        <v>50000</v>
      </c>
      <c r="AR318" s="49">
        <f t="shared" si="1018"/>
        <v>23408705</v>
      </c>
      <c r="AS318" s="49">
        <f t="shared" si="1018"/>
        <v>7044603</v>
      </c>
      <c r="AT318" s="49">
        <f t="shared" si="1018"/>
        <v>1827253</v>
      </c>
      <c r="AU318" s="49">
        <f t="shared" si="1018"/>
        <v>707136</v>
      </c>
      <c r="AV318" s="49">
        <f t="shared" si="1018"/>
        <v>1836609</v>
      </c>
      <c r="AW318" s="49">
        <f t="shared" si="1018"/>
        <v>21196683</v>
      </c>
      <c r="AX318" s="49">
        <f t="shared" si="1018"/>
        <v>51396024</v>
      </c>
      <c r="AY318" s="49">
        <f t="shared" si="1018"/>
        <v>3627811</v>
      </c>
      <c r="AZ318" s="49">
        <f t="shared" si="1018"/>
        <v>24772402</v>
      </c>
      <c r="BA318" s="49">
        <f t="shared" si="1018"/>
        <v>211487112</v>
      </c>
      <c r="BB318" s="49">
        <f t="shared" si="1018"/>
        <v>1557571895</v>
      </c>
      <c r="BC318" s="49">
        <f t="shared" si="1018"/>
        <v>283259752</v>
      </c>
      <c r="BD318" s="49">
        <f t="shared" si="1018"/>
        <v>258952661</v>
      </c>
      <c r="BE318" s="49">
        <f t="shared" si="1018"/>
        <v>5582989</v>
      </c>
      <c r="BF318" s="49">
        <f t="shared" si="1018"/>
        <v>18724102</v>
      </c>
      <c r="BG318" s="49">
        <f t="shared" si="1018"/>
        <v>28861460</v>
      </c>
      <c r="BH318" s="49">
        <f t="shared" si="1018"/>
        <v>19583700</v>
      </c>
      <c r="BI318" s="49">
        <f t="shared" si="1018"/>
        <v>9277760</v>
      </c>
      <c r="BJ318" s="49">
        <f t="shared" si="1018"/>
        <v>594841219</v>
      </c>
      <c r="BK318" s="49">
        <f t="shared" si="1018"/>
        <v>12174992</v>
      </c>
      <c r="BL318" s="49">
        <f t="shared" si="1018"/>
        <v>3379298</v>
      </c>
      <c r="BM318" s="49">
        <f t="shared" si="1018"/>
        <v>1128479</v>
      </c>
      <c r="BN318" s="49">
        <f t="shared" si="1018"/>
        <v>2250819</v>
      </c>
      <c r="BO318" s="49">
        <f t="shared" si="1018"/>
        <v>647230166</v>
      </c>
      <c r="BP318" s="49">
        <f t="shared" si="1018"/>
        <v>60034662</v>
      </c>
      <c r="BQ318" s="49">
        <f t="shared" si="1018"/>
        <v>4021200</v>
      </c>
      <c r="BR318" s="49">
        <f t="shared" ref="BR318:BZ318" si="1019">BR10+BR42+BR53+BR56+BR61+BR79+BR93+BR96+BR99+BR106+BR118+BR139+BR153+BR162+BR175+BR209+BR215+BR219+BR286+BR289</f>
        <v>13803018</v>
      </c>
      <c r="BS318" s="49">
        <f t="shared" si="1019"/>
        <v>20658543</v>
      </c>
      <c r="BT318" s="49">
        <f t="shared" si="1019"/>
        <v>25000</v>
      </c>
      <c r="BU318" s="49">
        <f t="shared" si="1019"/>
        <v>328732</v>
      </c>
      <c r="BV318" s="49">
        <f t="shared" si="1019"/>
        <v>177892396</v>
      </c>
      <c r="BW318" s="49">
        <f t="shared" si="1019"/>
        <v>1910000</v>
      </c>
      <c r="BX318" s="49">
        <f t="shared" si="1019"/>
        <v>296784</v>
      </c>
      <c r="BY318" s="49">
        <f t="shared" si="1019"/>
        <v>207039266</v>
      </c>
      <c r="BZ318" s="49">
        <f t="shared" si="1019"/>
        <v>161220565</v>
      </c>
      <c r="CA318" s="49">
        <f>CA10+CA42+CA53+CA56+CA61+CA79+CA93+CA96+CA99+CA106+CA118+CA139+CA153+CA162+CA175+CA209+CA215+CA219+CA286+CA289+CA212</f>
        <v>629353951</v>
      </c>
      <c r="CB318" s="49">
        <f t="shared" ref="CB318:CQ318" si="1020">CB10+CB42+CB53+CB56+CB61+CB79+CB93+CB96+CB99+CB106+CB118+CB139+CB153+CB162+CB175+CB209+CB215+CB219+CB286+CB289</f>
        <v>458610356</v>
      </c>
      <c r="CC318" s="49">
        <f t="shared" si="1020"/>
        <v>112380229</v>
      </c>
      <c r="CD318" s="49">
        <f t="shared" si="1020"/>
        <v>220580</v>
      </c>
      <c r="CE318" s="49">
        <f t="shared" si="1020"/>
        <v>112159649</v>
      </c>
      <c r="CF318" s="49">
        <f t="shared" si="1020"/>
        <v>197157692</v>
      </c>
      <c r="CG318" s="49">
        <f t="shared" si="1020"/>
        <v>1921000</v>
      </c>
      <c r="CH318" s="49">
        <f t="shared" si="1020"/>
        <v>161027122</v>
      </c>
      <c r="CI318" s="49">
        <f t="shared" si="1020"/>
        <v>18811820</v>
      </c>
      <c r="CJ318" s="49">
        <f t="shared" si="1020"/>
        <v>12695250</v>
      </c>
      <c r="CK318" s="49">
        <f t="shared" si="1020"/>
        <v>2702500</v>
      </c>
      <c r="CL318" s="49">
        <f t="shared" si="1020"/>
        <v>149072435</v>
      </c>
      <c r="CM318" s="49">
        <f t="shared" si="1020"/>
        <v>100000</v>
      </c>
      <c r="CN318" s="49">
        <f t="shared" si="1020"/>
        <v>106383480</v>
      </c>
      <c r="CO318" s="49">
        <f t="shared" si="1020"/>
        <v>40514321</v>
      </c>
      <c r="CP318" s="49">
        <f t="shared" si="1020"/>
        <v>74634</v>
      </c>
      <c r="CQ318" s="49">
        <f t="shared" si="1020"/>
        <v>2000000</v>
      </c>
      <c r="CR318" s="49">
        <f>CR10+CR42+CR53+CR56+CR61+CR79+CR93+CR96+CR99+CR106+CR118+CR139+CR153+CR162+CR175+CR209+CR215+CR219+CR286+CR289+CR212</f>
        <v>136935</v>
      </c>
      <c r="CS318" s="49">
        <f>CS10+CS42+CS53+CS56+CS61+CS79+CS93+CS96+CS99+CS106+CS118+CS139+CS153+CS162+CS175+CS209+CS215+CS219+CS286+CS289+CS212</f>
        <v>136935</v>
      </c>
      <c r="CT318" s="49">
        <f t="shared" ref="CT318:DA318" si="1021">CT10+CT42+CT53+CT56+CT61+CT79+CT93+CT96+CT99+CT106+CT118+CT139+CT153+CT162+CT175+CT209+CT215+CT219+CT286+CT289</f>
        <v>170606660</v>
      </c>
      <c r="CU318" s="49">
        <f t="shared" si="1021"/>
        <v>88584022</v>
      </c>
      <c r="CV318" s="49">
        <f t="shared" si="1021"/>
        <v>88584022</v>
      </c>
      <c r="CW318" s="49">
        <f t="shared" si="1021"/>
        <v>88584022</v>
      </c>
      <c r="CX318" s="49">
        <f t="shared" si="1021"/>
        <v>114417270</v>
      </c>
      <c r="CY318" s="49">
        <f t="shared" si="1021"/>
        <v>114417270</v>
      </c>
      <c r="CZ318" s="49">
        <f t="shared" si="1021"/>
        <v>3793116</v>
      </c>
      <c r="DA318" s="58">
        <f t="shared" si="1021"/>
        <v>110624154</v>
      </c>
      <c r="DB318" s="85"/>
    </row>
    <row r="319" spans="1:106" x14ac:dyDescent="0.25"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  <c r="AQ319" s="59"/>
      <c r="AR319" s="59"/>
      <c r="AS319" s="59"/>
      <c r="AT319" s="59"/>
      <c r="AU319" s="59"/>
      <c r="AV319" s="59"/>
      <c r="AW319" s="59"/>
      <c r="AX319" s="59"/>
      <c r="AY319" s="59"/>
      <c r="AZ319" s="59"/>
      <c r="BA319" s="59"/>
      <c r="BB319" s="59"/>
      <c r="BC319" s="59"/>
      <c r="BD319" s="59"/>
      <c r="BE319" s="59"/>
      <c r="BF319" s="59"/>
      <c r="BG319" s="59"/>
      <c r="BH319" s="59"/>
      <c r="BI319" s="59"/>
      <c r="BJ319" s="59"/>
      <c r="BK319" s="59"/>
      <c r="BL319" s="59"/>
      <c r="BM319" s="59"/>
      <c r="BN319" s="59"/>
      <c r="BO319" s="59"/>
      <c r="BP319" s="59"/>
      <c r="BQ319" s="59"/>
      <c r="BR319" s="59"/>
      <c r="BS319" s="59"/>
      <c r="BT319" s="59"/>
      <c r="BU319" s="59"/>
      <c r="BV319" s="59"/>
      <c r="BW319" s="59"/>
      <c r="BX319" s="59"/>
      <c r="BY319" s="59"/>
      <c r="BZ319" s="59"/>
      <c r="CA319" s="59"/>
      <c r="CB319" s="59"/>
      <c r="CC319" s="59"/>
      <c r="CD319" s="59"/>
      <c r="CE319" s="59"/>
      <c r="CF319" s="59"/>
      <c r="CG319" s="59"/>
      <c r="CH319" s="59"/>
      <c r="CI319" s="59"/>
      <c r="CJ319" s="59"/>
      <c r="CK319" s="59"/>
      <c r="CL319" s="59"/>
      <c r="CM319" s="59"/>
      <c r="CN319" s="59"/>
      <c r="CO319" s="59"/>
      <c r="CP319" s="59"/>
      <c r="CQ319" s="59"/>
      <c r="CR319" s="59"/>
      <c r="CS319" s="59"/>
      <c r="CT319" s="59"/>
      <c r="CU319" s="59"/>
      <c r="CV319" s="59"/>
      <c r="CW319" s="59"/>
      <c r="CX319" s="59"/>
      <c r="CY319" s="59"/>
      <c r="CZ319" s="59"/>
      <c r="DA319" s="59"/>
      <c r="DB319" s="59"/>
    </row>
  </sheetData>
  <mergeCells count="109">
    <mergeCell ref="DA7:DA8"/>
    <mergeCell ref="CP7:CP8"/>
    <mergeCell ref="CC7:CC8"/>
    <mergeCell ref="CD7:CD8"/>
    <mergeCell ref="CE7:CE8"/>
    <mergeCell ref="CF7:CF8"/>
    <mergeCell ref="K3:Q3"/>
    <mergeCell ref="P6:Q6"/>
    <mergeCell ref="K1:Q1"/>
    <mergeCell ref="K2:Q2"/>
    <mergeCell ref="CB7:CB8"/>
    <mergeCell ref="AT7:AT8"/>
    <mergeCell ref="AU7:AU8"/>
    <mergeCell ref="AV7:AV8"/>
    <mergeCell ref="AW7:AW8"/>
    <mergeCell ref="AY7:AY8"/>
    <mergeCell ref="AX7:AX8"/>
    <mergeCell ref="AQ7:AQ8"/>
    <mergeCell ref="CN7:CN8"/>
    <mergeCell ref="CK7:CK8"/>
    <mergeCell ref="CH7:CH8"/>
    <mergeCell ref="CU7:CU8"/>
    <mergeCell ref="CV7:CV8"/>
    <mergeCell ref="CW7:CW8"/>
    <mergeCell ref="AL7:AL8"/>
    <mergeCell ref="A8:A9"/>
    <mergeCell ref="BX7:BX8"/>
    <mergeCell ref="BY7:BY8"/>
    <mergeCell ref="BZ7:BZ8"/>
    <mergeCell ref="CA7:CA8"/>
    <mergeCell ref="BR7:BR8"/>
    <mergeCell ref="BO7:BO8"/>
    <mergeCell ref="BP7:BP8"/>
    <mergeCell ref="BQ7:BQ8"/>
    <mergeCell ref="BD7:BD8"/>
    <mergeCell ref="AS7:AS8"/>
    <mergeCell ref="BE7:BE8"/>
    <mergeCell ref="BF7:BF8"/>
    <mergeCell ref="BG7:BG8"/>
    <mergeCell ref="BS7:BS8"/>
    <mergeCell ref="BT7:BT8"/>
    <mergeCell ref="BI7:BI8"/>
    <mergeCell ref="BJ7:BJ8"/>
    <mergeCell ref="BK7:BK8"/>
    <mergeCell ref="AH7:AH8"/>
    <mergeCell ref="AJ7:AJ8"/>
    <mergeCell ref="X7:X8"/>
    <mergeCell ref="Y7:Y8"/>
    <mergeCell ref="CY7:CY8"/>
    <mergeCell ref="CM7:CM8"/>
    <mergeCell ref="CO7:CO8"/>
    <mergeCell ref="CQ7:CQ8"/>
    <mergeCell ref="CR7:CR8"/>
    <mergeCell ref="CS7:CS8"/>
    <mergeCell ref="CG7:CG8"/>
    <mergeCell ref="CJ7:CJ8"/>
    <mergeCell ref="CL7:CL8"/>
    <mergeCell ref="CT7:CT8"/>
    <mergeCell ref="BW7:BW8"/>
    <mergeCell ref="BV7:BV8"/>
    <mergeCell ref="CZ7:CZ8"/>
    <mergeCell ref="BU7:BU8"/>
    <mergeCell ref="CI7:CI8"/>
    <mergeCell ref="AN7:AN8"/>
    <mergeCell ref="AO7:AO8"/>
    <mergeCell ref="AC7:AC8"/>
    <mergeCell ref="AE7:AE8"/>
    <mergeCell ref="AF7:AF8"/>
    <mergeCell ref="AG7:AG8"/>
    <mergeCell ref="BN7:BN8"/>
    <mergeCell ref="BL7:BL8"/>
    <mergeCell ref="BC7:BC8"/>
    <mergeCell ref="BA7:BA8"/>
    <mergeCell ref="BB7:BB8"/>
    <mergeCell ref="AZ7:AZ8"/>
    <mergeCell ref="BM7:BM8"/>
    <mergeCell ref="BH7:BH8"/>
    <mergeCell ref="AR7:AR8"/>
    <mergeCell ref="AM7:AM8"/>
    <mergeCell ref="AP7:AP8"/>
    <mergeCell ref="AK7:AK8"/>
    <mergeCell ref="CX7:CX8"/>
    <mergeCell ref="P7:P8"/>
    <mergeCell ref="Q7:Q8"/>
    <mergeCell ref="R7:R8"/>
    <mergeCell ref="S7:S8"/>
    <mergeCell ref="AI7:AI8"/>
    <mergeCell ref="U7:U8"/>
    <mergeCell ref="V7:V8"/>
    <mergeCell ref="W7:W8"/>
    <mergeCell ref="AA7:AA8"/>
    <mergeCell ref="AB7:AB8"/>
    <mergeCell ref="AD7:AD8"/>
    <mergeCell ref="T7:T8"/>
    <mergeCell ref="Z7:Z8"/>
    <mergeCell ref="B7:B9"/>
    <mergeCell ref="C7:C9"/>
    <mergeCell ref="D7:D9"/>
    <mergeCell ref="O7:O8"/>
    <mergeCell ref="J7:J8"/>
    <mergeCell ref="K7:K8"/>
    <mergeCell ref="L7:L8"/>
    <mergeCell ref="M7:M8"/>
    <mergeCell ref="N7:N8"/>
    <mergeCell ref="F7:F8"/>
    <mergeCell ref="G7:G8"/>
    <mergeCell ref="H7:H8"/>
    <mergeCell ref="E7:E8"/>
    <mergeCell ref="I7:I8"/>
  </mergeCells>
  <pageMargins left="0.23622047244094491" right="0.15748031496062992" top="0.35433070866141736" bottom="0.23622047244094491" header="0.19685039370078741" footer="0.19685039370078741"/>
  <pageSetup paperSize="9" scale="68" firstPageNumber="10" fitToWidth="7" fitToHeight="12" orientation="landscape" useFirstPageNumber="1" r:id="rId1"/>
  <headerFooter>
    <oddHeader>&amp;C&amp;P</oddHeader>
  </headerFooter>
  <rowBreaks count="3" manualBreakCount="3">
    <brk id="66" max="103" man="1"/>
    <brk id="161" max="103" man="1"/>
    <brk id="224" max="10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(1360-1)</vt:lpstr>
      <vt:lpstr>'Приложение № 2 (1360-1)'!Заголовки_для_печати</vt:lpstr>
      <vt:lpstr>'Приложение № 2 (1360-1)'!Область_печати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2025-03-28T09:03:13Z</dcterms:modified>
</cp:coreProperties>
</file>