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518BB1C1-7438-44E5-B79C-C06555B373C2}" xr6:coauthVersionLast="36" xr6:coauthVersionMax="47" xr10:uidLastSave="{00000000-0000-0000-0000-000000000000}"/>
  <bookViews>
    <workbookView xWindow="120" yWindow="615" windowWidth="28680" windowHeight="15585" xr2:uid="{00000000-000D-0000-FFFF-FFFF00000000}"/>
  </bookViews>
  <sheets>
    <sheet name="приложение № 1 (1695)" sheetId="2" r:id="rId1"/>
  </sheets>
  <definedNames>
    <definedName name="_xlnm.Print_Titles" localSheetId="0">'приложение № 1 (1695)'!$13:$13</definedName>
    <definedName name="_xlnm.Print_Area" localSheetId="0">'приложение № 1 (1695)'!$A$1:$K$91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6" i="2" l="1"/>
  <c r="C67" i="2"/>
  <c r="C89" i="2" l="1"/>
  <c r="K89" i="2" s="1"/>
  <c r="J87" i="2"/>
  <c r="H87" i="2"/>
  <c r="G87" i="2"/>
  <c r="F87" i="2"/>
  <c r="E87" i="2"/>
  <c r="D87" i="2"/>
  <c r="C87" i="2"/>
  <c r="C85" i="2"/>
  <c r="K85" i="2" s="1"/>
  <c r="C83" i="2"/>
  <c r="K83" i="2" s="1"/>
  <c r="C81" i="2"/>
  <c r="K81" i="2" s="1"/>
  <c r="C79" i="2"/>
  <c r="K79" i="2" s="1"/>
  <c r="C77" i="2"/>
  <c r="K77" i="2" s="1"/>
  <c r="K75" i="2"/>
  <c r="K73" i="2"/>
  <c r="J71" i="2"/>
  <c r="I71" i="2"/>
  <c r="H71" i="2"/>
  <c r="G71" i="2"/>
  <c r="F71" i="2"/>
  <c r="E71" i="2"/>
  <c r="D71" i="2"/>
  <c r="K71" i="2" s="1"/>
  <c r="J70" i="2"/>
  <c r="I70" i="2"/>
  <c r="H70" i="2"/>
  <c r="G70" i="2"/>
  <c r="F70" i="2"/>
  <c r="E70" i="2"/>
  <c r="D70" i="2"/>
  <c r="C70" i="2"/>
  <c r="K70" i="2" s="1"/>
  <c r="K69" i="2" s="1"/>
  <c r="J69" i="2"/>
  <c r="I69" i="2"/>
  <c r="H69" i="2"/>
  <c r="G69" i="2"/>
  <c r="F69" i="2"/>
  <c r="E69" i="2"/>
  <c r="D69" i="2"/>
  <c r="C69" i="2"/>
  <c r="K67" i="2"/>
  <c r="K66" i="2"/>
  <c r="J65" i="2"/>
  <c r="I65" i="2"/>
  <c r="H65" i="2"/>
  <c r="G65" i="2"/>
  <c r="F65" i="2"/>
  <c r="E65" i="2"/>
  <c r="D65" i="2"/>
  <c r="C65" i="2"/>
  <c r="J63" i="2"/>
  <c r="I63" i="2"/>
  <c r="H63" i="2"/>
  <c r="F63" i="2"/>
  <c r="E63" i="2"/>
  <c r="D63" i="2"/>
  <c r="C63" i="2"/>
  <c r="C62" i="2"/>
  <c r="K62" i="2" s="1"/>
  <c r="K60" i="2"/>
  <c r="C58" i="2"/>
  <c r="K58" i="2" s="1"/>
  <c r="K57" i="2"/>
  <c r="C56" i="2"/>
  <c r="K56" i="2" s="1"/>
  <c r="C54" i="2"/>
  <c r="K54" i="2" s="1"/>
  <c r="K53" i="2"/>
  <c r="K52" i="2"/>
  <c r="C51" i="2"/>
  <c r="K51" i="2" s="1"/>
  <c r="K50" i="2"/>
  <c r="K49" i="2"/>
  <c r="C48" i="2"/>
  <c r="K48" i="2" s="1"/>
  <c r="J47" i="2"/>
  <c r="I47" i="2"/>
  <c r="H47" i="2"/>
  <c r="G47" i="2"/>
  <c r="F47" i="2"/>
  <c r="E47" i="2"/>
  <c r="D47" i="2"/>
  <c r="K45" i="2"/>
  <c r="J44" i="2"/>
  <c r="I44" i="2"/>
  <c r="H44" i="2"/>
  <c r="G44" i="2"/>
  <c r="F44" i="2"/>
  <c r="E44" i="2"/>
  <c r="D44" i="2"/>
  <c r="C44" i="2"/>
  <c r="C42" i="2"/>
  <c r="K42" i="2" s="1"/>
  <c r="J41" i="2"/>
  <c r="I41" i="2"/>
  <c r="H41" i="2"/>
  <c r="G41" i="2"/>
  <c r="F41" i="2"/>
  <c r="E41" i="2"/>
  <c r="D41" i="2"/>
  <c r="C41" i="2"/>
  <c r="K39" i="2"/>
  <c r="K38" i="2"/>
  <c r="K37" i="2"/>
  <c r="K36" i="2"/>
  <c r="K35" i="2"/>
  <c r="K34" i="2"/>
  <c r="J33" i="2"/>
  <c r="I33" i="2"/>
  <c r="H33" i="2"/>
  <c r="G33" i="2"/>
  <c r="F33" i="2"/>
  <c r="E33" i="2"/>
  <c r="D33" i="2"/>
  <c r="C33" i="2"/>
  <c r="K32" i="2"/>
  <c r="C30" i="2"/>
  <c r="K30" i="2" s="1"/>
  <c r="K29" i="2"/>
  <c r="K28" i="2"/>
  <c r="K27" i="2"/>
  <c r="J26" i="2"/>
  <c r="I26" i="2"/>
  <c r="H26" i="2"/>
  <c r="G26" i="2"/>
  <c r="F26" i="2"/>
  <c r="E26" i="2"/>
  <c r="D26" i="2"/>
  <c r="K24" i="2"/>
  <c r="I23" i="2"/>
  <c r="E23" i="2"/>
  <c r="D23" i="2"/>
  <c r="C23" i="2"/>
  <c r="D22" i="2"/>
  <c r="C22" i="2"/>
  <c r="K21" i="2"/>
  <c r="K20" i="2"/>
  <c r="K19" i="2"/>
  <c r="J17" i="2"/>
  <c r="J15" i="2" s="1"/>
  <c r="J14" i="2" s="1"/>
  <c r="J91" i="2" s="1"/>
  <c r="I17" i="2"/>
  <c r="I15" i="2" s="1"/>
  <c r="H17" i="2"/>
  <c r="G17" i="2"/>
  <c r="G15" i="2" s="1"/>
  <c r="F17" i="2"/>
  <c r="F15" i="2" s="1"/>
  <c r="F14" i="2" s="1"/>
  <c r="F91" i="2" s="1"/>
  <c r="E17" i="2"/>
  <c r="D17" i="2"/>
  <c r="H15" i="2"/>
  <c r="H14" i="2" s="1"/>
  <c r="H91" i="2" s="1"/>
  <c r="C15" i="2"/>
  <c r="E15" i="2" l="1"/>
  <c r="E14" i="2" s="1"/>
  <c r="E91" i="2" s="1"/>
  <c r="G14" i="2"/>
  <c r="G91" i="2" s="1"/>
  <c r="I14" i="2"/>
  <c r="I91" i="2" s="1"/>
  <c r="D15" i="2"/>
  <c r="D14" i="2" s="1"/>
  <c r="D91" i="2" s="1"/>
  <c r="C26" i="2"/>
  <c r="K26" i="2" s="1"/>
  <c r="K33" i="2"/>
  <c r="K41" i="2"/>
  <c r="C47" i="2"/>
  <c r="K47" i="2" s="1"/>
  <c r="K63" i="2"/>
  <c r="C14" i="2"/>
  <c r="K14" i="2" s="1"/>
  <c r="K17" i="2"/>
  <c r="K22" i="2"/>
  <c r="K23" i="2"/>
  <c r="K87" i="2"/>
  <c r="K44" i="2"/>
  <c r="K65" i="2"/>
  <c r="C91" i="2"/>
  <c r="K91" i="2" s="1"/>
  <c r="K15" i="2" l="1"/>
</calcChain>
</file>

<file path=xl/sharedStrings.xml><?xml version="1.0" encoding="utf-8"?>
<sst xmlns="http://schemas.openxmlformats.org/spreadsheetml/2006/main" count="79" uniqueCount="77">
  <si>
    <t>(руб.)</t>
  </si>
  <si>
    <t>Код</t>
  </si>
  <si>
    <t>Наименование групп, подгрупп, статей и подстатей доходов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</si>
  <si>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</si>
  <si>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</si>
  <si>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</si>
  <si>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</si>
  <si>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</si>
  <si>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</si>
  <si>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</si>
  <si>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</si>
  <si>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</si>
  <si>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Налоговые доходы</t>
  </si>
  <si>
    <t>Подоходные налоги</t>
  </si>
  <si>
    <t>Подоходный налог (налог на прибыль)</t>
  </si>
  <si>
    <t>Налог на доходы организаций по отрасли (подотрасли, виду деятельности)</t>
  </si>
  <si>
    <t>Отчисления от налога на доходы организаций для финансирования социальных выплат</t>
  </si>
  <si>
    <t>Налог на игорную деятельность</t>
  </si>
  <si>
    <t>Налог с выручки индивидуальных предпринимателей, применяющих упрощенную систему налогообложения</t>
  </si>
  <si>
    <t>Подоходный налог с физических лиц</t>
  </si>
  <si>
    <t>Налоги на товары и услуги, лицензионные и регистрационные сборы</t>
  </si>
  <si>
    <t>Налог на добавленную стоимость</t>
  </si>
  <si>
    <t>Акциз на продукцию, производимую на территории ПМР</t>
  </si>
  <si>
    <t>Акцизные сборы на продукцию, реализуемую на территории ПМР</t>
  </si>
  <si>
    <t>Лицензионные и регистрационные сборы</t>
  </si>
  <si>
    <t>Платежи за пользование природными ресурсами</t>
  </si>
  <si>
    <t>Земельный налог</t>
  </si>
  <si>
    <t>Земельный налог на земли сельскохозяйственного назначения</t>
  </si>
  <si>
    <t>Земельный налог на земли несельскохозяйственного назначения</t>
  </si>
  <si>
    <t>Платежи за пользование водными ресурсами в пределах установленных нормативов и лимитов</t>
  </si>
  <si>
    <t>Платежи за пользование недрами, в том числе для производства столовых и минеральных вод, в пределах установленных нормативов и лимитов</t>
  </si>
  <si>
    <t>Отчисления от фиксированного сельскохозяйственного налога</t>
  </si>
  <si>
    <t>Отчисления на воспроизводство минерально-сырьевой базы</t>
  </si>
  <si>
    <t>Налоги на внешнюю торговлю и внешнеэкономические операции</t>
  </si>
  <si>
    <t>Прочие налоги, пошлины и сборы</t>
  </si>
  <si>
    <t>Государственная пошлина</t>
  </si>
  <si>
    <t>Неналоговые доходы</t>
  </si>
  <si>
    <t>Доходы от имущества, находящегося в государственной и муниципальной собственности, или от деятельности</t>
  </si>
  <si>
    <t>Доходы от сдачи в аренду имущества, находящегося в государственной собственности</t>
  </si>
  <si>
    <t>Дивиденды по государственному долевому участию в акционерных предприятиях</t>
  </si>
  <si>
    <t>Погашение налогового и иных видов кредитов, займов</t>
  </si>
  <si>
    <t>Перечисление процентов за пользование кредитами, займами</t>
  </si>
  <si>
    <t>Платежи от государственных и муниципальных организаций</t>
  </si>
  <si>
    <t>Перечисление чистого дохода центрального банка</t>
  </si>
  <si>
    <t>Доходы от продажи имущества, находящегося в государственной и муниципальной собственности</t>
  </si>
  <si>
    <t>Поступления от приватизации объектов государственной и муниципальной собственности</t>
  </si>
  <si>
    <t>Административные платежи и сборы</t>
  </si>
  <si>
    <t>Штрафные санкции, возмещение ущерба</t>
  </si>
  <si>
    <t>Доходы целевых бюджетных фондов</t>
  </si>
  <si>
    <t>Дорожные фонды</t>
  </si>
  <si>
    <t>Отчисления от налога на доходы организаций</t>
  </si>
  <si>
    <t>Республиканский целевой бюджетный экологический фонд</t>
  </si>
  <si>
    <t>Фонд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</t>
  </si>
  <si>
    <t>Фонд капитальных вложений</t>
  </si>
  <si>
    <t>Фонд развития предпринимательства</t>
  </si>
  <si>
    <t>Фонд поддержки молодежи</t>
  </si>
  <si>
    <t>ИТОГО</t>
  </si>
  <si>
    <t>Фонд поддержки сельского хозяйства</t>
  </si>
  <si>
    <t>Фонд развития мелиоративного комплекса</t>
  </si>
  <si>
    <t>Единый таможенный платеж</t>
  </si>
  <si>
    <t>Отчисления от единого социального налога на улучшение оснащенности учреждений здравоохранения медицинским оборудованием и приобретение специализированного медицинского автотранспорта</t>
  </si>
  <si>
    <t xml:space="preserve">Отчисления средств от налога на доходы на цели пенсионного страхования (обеспечения) </t>
  </si>
  <si>
    <t>Доходы республиканского бюджета в разрезе основных видов налоговых, неналоговых и иных обязательных платежей на 2025 год</t>
  </si>
  <si>
    <t>Доходы от оказания платных услуг и иной приносящей доход деятельности</t>
  </si>
  <si>
    <t>Налог с выручки организаций, применяющих упрощенную систему налогообложения</t>
  </si>
  <si>
    <t>"О республиканском бюджете на 2025 год"</t>
  </si>
  <si>
    <t>Приложение № 1</t>
  </si>
  <si>
    <t>к  Закону Приднестровской Молдавской Республики</t>
  </si>
  <si>
    <t>Прочие поступления о реализации имущества и валюты</t>
  </si>
  <si>
    <t>Прочие административные штрафы и санкции, возмещение ущерба</t>
  </si>
  <si>
    <t>Безвозмездные перечисления</t>
  </si>
  <si>
    <t>От нерезидентов (гуманитарная помощь)</t>
  </si>
  <si>
    <t>Прочие безвозмездные перечисления</t>
  </si>
  <si>
    <t xml:space="preserve">Иные поступления, носящие нерегулярный характер </t>
  </si>
  <si>
    <t xml:space="preserve">к Закону Приднестровской Молдавской Республики </t>
  </si>
  <si>
    <t>в Закон Приднестровской Молдавской Республики</t>
  </si>
  <si>
    <t>"О внесении изменений и дополнения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</si>
</sst>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FFFF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101">
    <xf numFmtId="0" fontId="0" fillId="0" borderId="0" xfId="0"/>
    <xf numFmtId="1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wrapText="1"/>
    </xf>
    <xf numFmtId="3" fontId="4" fillId="0" borderId="0" xfId="0" applyNumberFormat="1" applyFont="1" applyFill="1" applyAlignment="1">
      <alignment vertical="center"/>
    </xf>
    <xf numFmtId="1" fontId="4" fillId="0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left" vertical="center" wrapText="1"/>
    </xf>
    <xf numFmtId="1" fontId="4" fillId="0" borderId="15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/>
    </xf>
    <xf numFmtId="165" fontId="4" fillId="0" borderId="16" xfId="1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1" xfId="1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 wrapText="1"/>
    </xf>
    <xf numFmtId="1" fontId="3" fillId="0" borderId="10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" fontId="5" fillId="0" borderId="1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5" fontId="5" fillId="0" borderId="11" xfId="1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left" vertical="center" wrapText="1"/>
    </xf>
    <xf numFmtId="3" fontId="3" fillId="0" borderId="0" xfId="0" applyNumberFormat="1" applyFont="1" applyFill="1" applyAlignment="1">
      <alignment horizontal="left" vertical="center"/>
    </xf>
    <xf numFmtId="165" fontId="3" fillId="0" borderId="1" xfId="1" applyNumberFormat="1" applyFont="1" applyFill="1" applyBorder="1" applyAlignment="1">
      <alignment horizontal="center" vertical="center"/>
    </xf>
    <xf numFmtId="165" fontId="3" fillId="0" borderId="11" xfId="1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vertical="center" wrapText="1"/>
    </xf>
    <xf numFmtId="165" fontId="3" fillId="0" borderId="6" xfId="1" applyNumberFormat="1" applyFont="1" applyFill="1" applyBorder="1" applyAlignment="1">
      <alignment horizontal="center" vertical="center"/>
    </xf>
    <xf numFmtId="165" fontId="4" fillId="0" borderId="18" xfId="1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horizontal="center" vertical="center"/>
    </xf>
    <xf numFmtId="165" fontId="4" fillId="0" borderId="9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vertical="center"/>
    </xf>
    <xf numFmtId="1" fontId="4" fillId="0" borderId="10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vertical="center" wrapText="1"/>
    </xf>
    <xf numFmtId="165" fontId="4" fillId="0" borderId="13" xfId="1" applyNumberFormat="1" applyFont="1" applyFill="1" applyBorder="1" applyAlignment="1">
      <alignment horizontal="center" vertical="center"/>
    </xf>
    <xf numFmtId="165" fontId="4" fillId="0" borderId="14" xfId="1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left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vertical="center" wrapText="1"/>
    </xf>
    <xf numFmtId="165" fontId="4" fillId="0" borderId="4" xfId="1" applyNumberFormat="1" applyFont="1" applyFill="1" applyBorder="1" applyAlignment="1">
      <alignment horizontal="center" vertical="center"/>
    </xf>
    <xf numFmtId="165" fontId="4" fillId="2" borderId="5" xfId="1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165" fontId="3" fillId="2" borderId="11" xfId="1" applyNumberFormat="1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vertical="center" wrapText="1"/>
    </xf>
    <xf numFmtId="165" fontId="3" fillId="2" borderId="6" xfId="1" applyNumberFormat="1" applyFont="1" applyFill="1" applyBorder="1" applyAlignment="1">
      <alignment horizontal="center" vertical="center"/>
    </xf>
    <xf numFmtId="165" fontId="3" fillId="2" borderId="18" xfId="1" applyNumberFormat="1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>
      <alignment vertical="center" wrapText="1"/>
    </xf>
    <xf numFmtId="1" fontId="4" fillId="2" borderId="3" xfId="0" applyNumberFormat="1" applyFont="1" applyFill="1" applyBorder="1" applyAlignment="1">
      <alignment vertical="center" wrapText="1"/>
    </xf>
    <xf numFmtId="1" fontId="4" fillId="2" borderId="7" xfId="0" applyNumberFormat="1" applyFont="1" applyFill="1" applyBorder="1" applyAlignment="1">
      <alignment vertical="center" wrapText="1"/>
    </xf>
    <xf numFmtId="1" fontId="3" fillId="2" borderId="20" xfId="0" applyNumberFormat="1" applyFont="1" applyFill="1" applyBorder="1" applyAlignment="1">
      <alignment horizontal="center" vertical="center"/>
    </xf>
    <xf numFmtId="3" fontId="3" fillId="2" borderId="21" xfId="0" applyNumberFormat="1" applyFont="1" applyFill="1" applyBorder="1" applyAlignment="1">
      <alignment vertical="center" wrapText="1"/>
    </xf>
    <xf numFmtId="165" fontId="3" fillId="2" borderId="21" xfId="1" applyNumberFormat="1" applyFont="1" applyFill="1" applyBorder="1" applyAlignment="1">
      <alignment horizontal="center" vertical="center"/>
    </xf>
    <xf numFmtId="165" fontId="3" fillId="2" borderId="22" xfId="1" applyNumberFormat="1" applyFon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vertical="center" wrapText="1"/>
    </xf>
    <xf numFmtId="1" fontId="3" fillId="2" borderId="12" xfId="0" applyNumberFormat="1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vertical="center" wrapText="1"/>
    </xf>
    <xf numFmtId="165" fontId="3" fillId="2" borderId="13" xfId="1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/>
    </xf>
    <xf numFmtId="165" fontId="4" fillId="2" borderId="23" xfId="1" applyNumberFormat="1" applyFont="1" applyFill="1" applyBorder="1" applyAlignment="1">
      <alignment horizontal="center" vertical="center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left" vertical="center" wrapText="1"/>
    </xf>
    <xf numFmtId="165" fontId="4" fillId="0" borderId="21" xfId="1" applyNumberFormat="1" applyFont="1" applyFill="1" applyBorder="1" applyAlignment="1">
      <alignment horizontal="center" vertical="center"/>
    </xf>
    <xf numFmtId="165" fontId="4" fillId="0" borderId="22" xfId="1" applyNumberFormat="1" applyFont="1" applyFill="1" applyBorder="1" applyAlignment="1">
      <alignment horizontal="center" vertical="center"/>
    </xf>
    <xf numFmtId="3" fontId="4" fillId="2" borderId="25" xfId="0" applyNumberFormat="1" applyFont="1" applyFill="1" applyBorder="1" applyAlignment="1">
      <alignment horizontal="left" vertical="center" wrapText="1"/>
    </xf>
    <xf numFmtId="165" fontId="4" fillId="0" borderId="5" xfId="1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right" vertical="center"/>
    </xf>
    <xf numFmtId="0" fontId="6" fillId="2" borderId="0" xfId="0" applyNumberFormat="1" applyFont="1" applyFill="1" applyAlignment="1">
      <alignment horizontal="right" vertical="center"/>
    </xf>
  </cellXfs>
  <cellStyles count="3">
    <cellStyle name="Обычный" xfId="0" builtinId="0"/>
    <cellStyle name="Финансовый" xfId="1" builtinId="3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view="pageBreakPreview" zoomScaleNormal="100" zoomScaleSheetLayoutView="100" workbookViewId="0">
      <pane xSplit="2" ySplit="13" topLeftCell="C84" activePane="bottomRight" state="frozen"/>
      <selection pane="topRight" activeCell="C1" sqref="C1"/>
      <selection pane="bottomLeft" activeCell="A10" sqref="A10"/>
      <selection pane="bottomRight" activeCell="H3" sqref="H3:K3"/>
    </sheetView>
  </sheetViews>
  <sheetFormatPr defaultColWidth="58.28515625" defaultRowHeight="15.75" x14ac:dyDescent="0.25"/>
  <cols>
    <col min="1" max="1" width="9" style="1" customWidth="1"/>
    <col min="2" max="2" width="52.85546875" style="2" customWidth="1"/>
    <col min="3" max="3" width="15.7109375" style="3" bestFit="1" customWidth="1"/>
    <col min="4" max="6" width="14" style="3" bestFit="1" customWidth="1"/>
    <col min="7" max="7" width="12.7109375" style="3" bestFit="1" customWidth="1"/>
    <col min="8" max="8" width="14" style="3" bestFit="1" customWidth="1"/>
    <col min="9" max="9" width="15.5703125" style="3" bestFit="1" customWidth="1"/>
    <col min="10" max="10" width="12.7109375" style="3" bestFit="1" customWidth="1"/>
    <col min="11" max="11" width="15.7109375" style="3" customWidth="1"/>
    <col min="12" max="53" width="58.28515625" style="3"/>
    <col min="54" max="54" width="9" style="3" customWidth="1"/>
    <col min="55" max="55" width="60.28515625" style="3" customWidth="1"/>
    <col min="56" max="56" width="15.7109375" style="3" bestFit="1" customWidth="1"/>
    <col min="57" max="57" width="14.140625" style="3" bestFit="1" customWidth="1"/>
    <col min="58" max="58" width="14.140625" style="3" customWidth="1"/>
    <col min="59" max="59" width="14.140625" style="3" bestFit="1" customWidth="1"/>
    <col min="60" max="61" width="13.140625" style="3" bestFit="1" customWidth="1"/>
    <col min="62" max="62" width="14" style="3" customWidth="1"/>
    <col min="63" max="63" width="13.140625" style="3" customWidth="1"/>
    <col min="64" max="64" width="16.42578125" style="3" customWidth="1"/>
    <col min="65" max="65" width="18.5703125" style="3" customWidth="1"/>
    <col min="66" max="66" width="8.140625" style="3" bestFit="1" customWidth="1"/>
    <col min="67" max="309" width="58.28515625" style="3"/>
    <col min="310" max="310" width="9" style="3" customWidth="1"/>
    <col min="311" max="311" width="60.28515625" style="3" customWidth="1"/>
    <col min="312" max="312" width="15.7109375" style="3" bestFit="1" customWidth="1"/>
    <col min="313" max="313" width="14.140625" style="3" bestFit="1" customWidth="1"/>
    <col min="314" max="314" width="14.140625" style="3" customWidth="1"/>
    <col min="315" max="315" width="14.140625" style="3" bestFit="1" customWidth="1"/>
    <col min="316" max="317" width="13.140625" style="3" bestFit="1" customWidth="1"/>
    <col min="318" max="318" width="14" style="3" customWidth="1"/>
    <col min="319" max="319" width="13.140625" style="3" customWidth="1"/>
    <col min="320" max="320" width="16.42578125" style="3" customWidth="1"/>
    <col min="321" max="321" width="18.5703125" style="3" customWidth="1"/>
    <col min="322" max="322" width="8.140625" style="3" bestFit="1" customWidth="1"/>
    <col min="323" max="565" width="58.28515625" style="3"/>
    <col min="566" max="566" width="9" style="3" customWidth="1"/>
    <col min="567" max="567" width="60.28515625" style="3" customWidth="1"/>
    <col min="568" max="568" width="15.7109375" style="3" bestFit="1" customWidth="1"/>
    <col min="569" max="569" width="14.140625" style="3" bestFit="1" customWidth="1"/>
    <col min="570" max="570" width="14.140625" style="3" customWidth="1"/>
    <col min="571" max="571" width="14.140625" style="3" bestFit="1" customWidth="1"/>
    <col min="572" max="573" width="13.140625" style="3" bestFit="1" customWidth="1"/>
    <col min="574" max="574" width="14" style="3" customWidth="1"/>
    <col min="575" max="575" width="13.140625" style="3" customWidth="1"/>
    <col min="576" max="576" width="16.42578125" style="3" customWidth="1"/>
    <col min="577" max="577" width="18.5703125" style="3" customWidth="1"/>
    <col min="578" max="578" width="8.140625" style="3" bestFit="1" customWidth="1"/>
    <col min="579" max="821" width="58.28515625" style="3"/>
    <col min="822" max="822" width="9" style="3" customWidth="1"/>
    <col min="823" max="823" width="60.28515625" style="3" customWidth="1"/>
    <col min="824" max="824" width="15.7109375" style="3" bestFit="1" customWidth="1"/>
    <col min="825" max="825" width="14.140625" style="3" bestFit="1" customWidth="1"/>
    <col min="826" max="826" width="14.140625" style="3" customWidth="1"/>
    <col min="827" max="827" width="14.140625" style="3" bestFit="1" customWidth="1"/>
    <col min="828" max="829" width="13.140625" style="3" bestFit="1" customWidth="1"/>
    <col min="830" max="830" width="14" style="3" customWidth="1"/>
    <col min="831" max="831" width="13.140625" style="3" customWidth="1"/>
    <col min="832" max="832" width="16.42578125" style="3" customWidth="1"/>
    <col min="833" max="833" width="18.5703125" style="3" customWidth="1"/>
    <col min="834" max="834" width="8.140625" style="3" bestFit="1" customWidth="1"/>
    <col min="835" max="1077" width="58.28515625" style="3"/>
    <col min="1078" max="1078" width="9" style="3" customWidth="1"/>
    <col min="1079" max="1079" width="60.28515625" style="3" customWidth="1"/>
    <col min="1080" max="1080" width="15.7109375" style="3" bestFit="1" customWidth="1"/>
    <col min="1081" max="1081" width="14.140625" style="3" bestFit="1" customWidth="1"/>
    <col min="1082" max="1082" width="14.140625" style="3" customWidth="1"/>
    <col min="1083" max="1083" width="14.140625" style="3" bestFit="1" customWidth="1"/>
    <col min="1084" max="1085" width="13.140625" style="3" bestFit="1" customWidth="1"/>
    <col min="1086" max="1086" width="14" style="3" customWidth="1"/>
    <col min="1087" max="1087" width="13.140625" style="3" customWidth="1"/>
    <col min="1088" max="1088" width="16.42578125" style="3" customWidth="1"/>
    <col min="1089" max="1089" width="18.5703125" style="3" customWidth="1"/>
    <col min="1090" max="1090" width="8.140625" style="3" bestFit="1" customWidth="1"/>
    <col min="1091" max="1333" width="58.28515625" style="3"/>
    <col min="1334" max="1334" width="9" style="3" customWidth="1"/>
    <col min="1335" max="1335" width="60.28515625" style="3" customWidth="1"/>
    <col min="1336" max="1336" width="15.7109375" style="3" bestFit="1" customWidth="1"/>
    <col min="1337" max="1337" width="14.140625" style="3" bestFit="1" customWidth="1"/>
    <col min="1338" max="1338" width="14.140625" style="3" customWidth="1"/>
    <col min="1339" max="1339" width="14.140625" style="3" bestFit="1" customWidth="1"/>
    <col min="1340" max="1341" width="13.140625" style="3" bestFit="1" customWidth="1"/>
    <col min="1342" max="1342" width="14" style="3" customWidth="1"/>
    <col min="1343" max="1343" width="13.140625" style="3" customWidth="1"/>
    <col min="1344" max="1344" width="16.42578125" style="3" customWidth="1"/>
    <col min="1345" max="1345" width="18.5703125" style="3" customWidth="1"/>
    <col min="1346" max="1346" width="8.140625" style="3" bestFit="1" customWidth="1"/>
    <col min="1347" max="1589" width="58.28515625" style="3"/>
    <col min="1590" max="1590" width="9" style="3" customWidth="1"/>
    <col min="1591" max="1591" width="60.28515625" style="3" customWidth="1"/>
    <col min="1592" max="1592" width="15.7109375" style="3" bestFit="1" customWidth="1"/>
    <col min="1593" max="1593" width="14.140625" style="3" bestFit="1" customWidth="1"/>
    <col min="1594" max="1594" width="14.140625" style="3" customWidth="1"/>
    <col min="1595" max="1595" width="14.140625" style="3" bestFit="1" customWidth="1"/>
    <col min="1596" max="1597" width="13.140625" style="3" bestFit="1" customWidth="1"/>
    <col min="1598" max="1598" width="14" style="3" customWidth="1"/>
    <col min="1599" max="1599" width="13.140625" style="3" customWidth="1"/>
    <col min="1600" max="1600" width="16.42578125" style="3" customWidth="1"/>
    <col min="1601" max="1601" width="18.5703125" style="3" customWidth="1"/>
    <col min="1602" max="1602" width="8.140625" style="3" bestFit="1" customWidth="1"/>
    <col min="1603" max="1845" width="58.28515625" style="3"/>
    <col min="1846" max="1846" width="9" style="3" customWidth="1"/>
    <col min="1847" max="1847" width="60.28515625" style="3" customWidth="1"/>
    <col min="1848" max="1848" width="15.7109375" style="3" bestFit="1" customWidth="1"/>
    <col min="1849" max="1849" width="14.140625" style="3" bestFit="1" customWidth="1"/>
    <col min="1850" max="1850" width="14.140625" style="3" customWidth="1"/>
    <col min="1851" max="1851" width="14.140625" style="3" bestFit="1" customWidth="1"/>
    <col min="1852" max="1853" width="13.140625" style="3" bestFit="1" customWidth="1"/>
    <col min="1854" max="1854" width="14" style="3" customWidth="1"/>
    <col min="1855" max="1855" width="13.140625" style="3" customWidth="1"/>
    <col min="1856" max="1856" width="16.42578125" style="3" customWidth="1"/>
    <col min="1857" max="1857" width="18.5703125" style="3" customWidth="1"/>
    <col min="1858" max="1858" width="8.140625" style="3" bestFit="1" customWidth="1"/>
    <col min="1859" max="2101" width="58.28515625" style="3"/>
    <col min="2102" max="2102" width="9" style="3" customWidth="1"/>
    <col min="2103" max="2103" width="60.28515625" style="3" customWidth="1"/>
    <col min="2104" max="2104" width="15.7109375" style="3" bestFit="1" customWidth="1"/>
    <col min="2105" max="2105" width="14.140625" style="3" bestFit="1" customWidth="1"/>
    <col min="2106" max="2106" width="14.140625" style="3" customWidth="1"/>
    <col min="2107" max="2107" width="14.140625" style="3" bestFit="1" customWidth="1"/>
    <col min="2108" max="2109" width="13.140625" style="3" bestFit="1" customWidth="1"/>
    <col min="2110" max="2110" width="14" style="3" customWidth="1"/>
    <col min="2111" max="2111" width="13.140625" style="3" customWidth="1"/>
    <col min="2112" max="2112" width="16.42578125" style="3" customWidth="1"/>
    <col min="2113" max="2113" width="18.5703125" style="3" customWidth="1"/>
    <col min="2114" max="2114" width="8.140625" style="3" bestFit="1" customWidth="1"/>
    <col min="2115" max="2357" width="58.28515625" style="3"/>
    <col min="2358" max="2358" width="9" style="3" customWidth="1"/>
    <col min="2359" max="2359" width="60.28515625" style="3" customWidth="1"/>
    <col min="2360" max="2360" width="15.7109375" style="3" bestFit="1" customWidth="1"/>
    <col min="2361" max="2361" width="14.140625" style="3" bestFit="1" customWidth="1"/>
    <col min="2362" max="2362" width="14.140625" style="3" customWidth="1"/>
    <col min="2363" max="2363" width="14.140625" style="3" bestFit="1" customWidth="1"/>
    <col min="2364" max="2365" width="13.140625" style="3" bestFit="1" customWidth="1"/>
    <col min="2366" max="2366" width="14" style="3" customWidth="1"/>
    <col min="2367" max="2367" width="13.140625" style="3" customWidth="1"/>
    <col min="2368" max="2368" width="16.42578125" style="3" customWidth="1"/>
    <col min="2369" max="2369" width="18.5703125" style="3" customWidth="1"/>
    <col min="2370" max="2370" width="8.140625" style="3" bestFit="1" customWidth="1"/>
    <col min="2371" max="2613" width="58.28515625" style="3"/>
    <col min="2614" max="2614" width="9" style="3" customWidth="1"/>
    <col min="2615" max="2615" width="60.28515625" style="3" customWidth="1"/>
    <col min="2616" max="2616" width="15.7109375" style="3" bestFit="1" customWidth="1"/>
    <col min="2617" max="2617" width="14.140625" style="3" bestFit="1" customWidth="1"/>
    <col min="2618" max="2618" width="14.140625" style="3" customWidth="1"/>
    <col min="2619" max="2619" width="14.140625" style="3" bestFit="1" customWidth="1"/>
    <col min="2620" max="2621" width="13.140625" style="3" bestFit="1" customWidth="1"/>
    <col min="2622" max="2622" width="14" style="3" customWidth="1"/>
    <col min="2623" max="2623" width="13.140625" style="3" customWidth="1"/>
    <col min="2624" max="2624" width="16.42578125" style="3" customWidth="1"/>
    <col min="2625" max="2625" width="18.5703125" style="3" customWidth="1"/>
    <col min="2626" max="2626" width="8.140625" style="3" bestFit="1" customWidth="1"/>
    <col min="2627" max="2869" width="58.28515625" style="3"/>
    <col min="2870" max="2870" width="9" style="3" customWidth="1"/>
    <col min="2871" max="2871" width="60.28515625" style="3" customWidth="1"/>
    <col min="2872" max="2872" width="15.7109375" style="3" bestFit="1" customWidth="1"/>
    <col min="2873" max="2873" width="14.140625" style="3" bestFit="1" customWidth="1"/>
    <col min="2874" max="2874" width="14.140625" style="3" customWidth="1"/>
    <col min="2875" max="2875" width="14.140625" style="3" bestFit="1" customWidth="1"/>
    <col min="2876" max="2877" width="13.140625" style="3" bestFit="1" customWidth="1"/>
    <col min="2878" max="2878" width="14" style="3" customWidth="1"/>
    <col min="2879" max="2879" width="13.140625" style="3" customWidth="1"/>
    <col min="2880" max="2880" width="16.42578125" style="3" customWidth="1"/>
    <col min="2881" max="2881" width="18.5703125" style="3" customWidth="1"/>
    <col min="2882" max="2882" width="8.140625" style="3" bestFit="1" customWidth="1"/>
    <col min="2883" max="3125" width="58.28515625" style="3"/>
    <col min="3126" max="3126" width="9" style="3" customWidth="1"/>
    <col min="3127" max="3127" width="60.28515625" style="3" customWidth="1"/>
    <col min="3128" max="3128" width="15.7109375" style="3" bestFit="1" customWidth="1"/>
    <col min="3129" max="3129" width="14.140625" style="3" bestFit="1" customWidth="1"/>
    <col min="3130" max="3130" width="14.140625" style="3" customWidth="1"/>
    <col min="3131" max="3131" width="14.140625" style="3" bestFit="1" customWidth="1"/>
    <col min="3132" max="3133" width="13.140625" style="3" bestFit="1" customWidth="1"/>
    <col min="3134" max="3134" width="14" style="3" customWidth="1"/>
    <col min="3135" max="3135" width="13.140625" style="3" customWidth="1"/>
    <col min="3136" max="3136" width="16.42578125" style="3" customWidth="1"/>
    <col min="3137" max="3137" width="18.5703125" style="3" customWidth="1"/>
    <col min="3138" max="3138" width="8.140625" style="3" bestFit="1" customWidth="1"/>
    <col min="3139" max="3381" width="58.28515625" style="3"/>
    <col min="3382" max="3382" width="9" style="3" customWidth="1"/>
    <col min="3383" max="3383" width="60.28515625" style="3" customWidth="1"/>
    <col min="3384" max="3384" width="15.7109375" style="3" bestFit="1" customWidth="1"/>
    <col min="3385" max="3385" width="14.140625" style="3" bestFit="1" customWidth="1"/>
    <col min="3386" max="3386" width="14.140625" style="3" customWidth="1"/>
    <col min="3387" max="3387" width="14.140625" style="3" bestFit="1" customWidth="1"/>
    <col min="3388" max="3389" width="13.140625" style="3" bestFit="1" customWidth="1"/>
    <col min="3390" max="3390" width="14" style="3" customWidth="1"/>
    <col min="3391" max="3391" width="13.140625" style="3" customWidth="1"/>
    <col min="3392" max="3392" width="16.42578125" style="3" customWidth="1"/>
    <col min="3393" max="3393" width="18.5703125" style="3" customWidth="1"/>
    <col min="3394" max="3394" width="8.140625" style="3" bestFit="1" customWidth="1"/>
    <col min="3395" max="3637" width="58.28515625" style="3"/>
    <col min="3638" max="3638" width="9" style="3" customWidth="1"/>
    <col min="3639" max="3639" width="60.28515625" style="3" customWidth="1"/>
    <col min="3640" max="3640" width="15.7109375" style="3" bestFit="1" customWidth="1"/>
    <col min="3641" max="3641" width="14.140625" style="3" bestFit="1" customWidth="1"/>
    <col min="3642" max="3642" width="14.140625" style="3" customWidth="1"/>
    <col min="3643" max="3643" width="14.140625" style="3" bestFit="1" customWidth="1"/>
    <col min="3644" max="3645" width="13.140625" style="3" bestFit="1" customWidth="1"/>
    <col min="3646" max="3646" width="14" style="3" customWidth="1"/>
    <col min="3647" max="3647" width="13.140625" style="3" customWidth="1"/>
    <col min="3648" max="3648" width="16.42578125" style="3" customWidth="1"/>
    <col min="3649" max="3649" width="18.5703125" style="3" customWidth="1"/>
    <col min="3650" max="3650" width="8.140625" style="3" bestFit="1" customWidth="1"/>
    <col min="3651" max="3893" width="58.28515625" style="3"/>
    <col min="3894" max="3894" width="9" style="3" customWidth="1"/>
    <col min="3895" max="3895" width="60.28515625" style="3" customWidth="1"/>
    <col min="3896" max="3896" width="15.7109375" style="3" bestFit="1" customWidth="1"/>
    <col min="3897" max="3897" width="14.140625" style="3" bestFit="1" customWidth="1"/>
    <col min="3898" max="3898" width="14.140625" style="3" customWidth="1"/>
    <col min="3899" max="3899" width="14.140625" style="3" bestFit="1" customWidth="1"/>
    <col min="3900" max="3901" width="13.140625" style="3" bestFit="1" customWidth="1"/>
    <col min="3902" max="3902" width="14" style="3" customWidth="1"/>
    <col min="3903" max="3903" width="13.140625" style="3" customWidth="1"/>
    <col min="3904" max="3904" width="16.42578125" style="3" customWidth="1"/>
    <col min="3905" max="3905" width="18.5703125" style="3" customWidth="1"/>
    <col min="3906" max="3906" width="8.140625" style="3" bestFit="1" customWidth="1"/>
    <col min="3907" max="4149" width="58.28515625" style="3"/>
    <col min="4150" max="4150" width="9" style="3" customWidth="1"/>
    <col min="4151" max="4151" width="60.28515625" style="3" customWidth="1"/>
    <col min="4152" max="4152" width="15.7109375" style="3" bestFit="1" customWidth="1"/>
    <col min="4153" max="4153" width="14.140625" style="3" bestFit="1" customWidth="1"/>
    <col min="4154" max="4154" width="14.140625" style="3" customWidth="1"/>
    <col min="4155" max="4155" width="14.140625" style="3" bestFit="1" customWidth="1"/>
    <col min="4156" max="4157" width="13.140625" style="3" bestFit="1" customWidth="1"/>
    <col min="4158" max="4158" width="14" style="3" customWidth="1"/>
    <col min="4159" max="4159" width="13.140625" style="3" customWidth="1"/>
    <col min="4160" max="4160" width="16.42578125" style="3" customWidth="1"/>
    <col min="4161" max="4161" width="18.5703125" style="3" customWidth="1"/>
    <col min="4162" max="4162" width="8.140625" style="3" bestFit="1" customWidth="1"/>
    <col min="4163" max="4405" width="58.28515625" style="3"/>
    <col min="4406" max="4406" width="9" style="3" customWidth="1"/>
    <col min="4407" max="4407" width="60.28515625" style="3" customWidth="1"/>
    <col min="4408" max="4408" width="15.7109375" style="3" bestFit="1" customWidth="1"/>
    <col min="4409" max="4409" width="14.140625" style="3" bestFit="1" customWidth="1"/>
    <col min="4410" max="4410" width="14.140625" style="3" customWidth="1"/>
    <col min="4411" max="4411" width="14.140625" style="3" bestFit="1" customWidth="1"/>
    <col min="4412" max="4413" width="13.140625" style="3" bestFit="1" customWidth="1"/>
    <col min="4414" max="4414" width="14" style="3" customWidth="1"/>
    <col min="4415" max="4415" width="13.140625" style="3" customWidth="1"/>
    <col min="4416" max="4416" width="16.42578125" style="3" customWidth="1"/>
    <col min="4417" max="4417" width="18.5703125" style="3" customWidth="1"/>
    <col min="4418" max="4418" width="8.140625" style="3" bestFit="1" customWidth="1"/>
    <col min="4419" max="4661" width="58.28515625" style="3"/>
    <col min="4662" max="4662" width="9" style="3" customWidth="1"/>
    <col min="4663" max="4663" width="60.28515625" style="3" customWidth="1"/>
    <col min="4664" max="4664" width="15.7109375" style="3" bestFit="1" customWidth="1"/>
    <col min="4665" max="4665" width="14.140625" style="3" bestFit="1" customWidth="1"/>
    <col min="4666" max="4666" width="14.140625" style="3" customWidth="1"/>
    <col min="4667" max="4667" width="14.140625" style="3" bestFit="1" customWidth="1"/>
    <col min="4668" max="4669" width="13.140625" style="3" bestFit="1" customWidth="1"/>
    <col min="4670" max="4670" width="14" style="3" customWidth="1"/>
    <col min="4671" max="4671" width="13.140625" style="3" customWidth="1"/>
    <col min="4672" max="4672" width="16.42578125" style="3" customWidth="1"/>
    <col min="4673" max="4673" width="18.5703125" style="3" customWidth="1"/>
    <col min="4674" max="4674" width="8.140625" style="3" bestFit="1" customWidth="1"/>
    <col min="4675" max="4917" width="58.28515625" style="3"/>
    <col min="4918" max="4918" width="9" style="3" customWidth="1"/>
    <col min="4919" max="4919" width="60.28515625" style="3" customWidth="1"/>
    <col min="4920" max="4920" width="15.7109375" style="3" bestFit="1" customWidth="1"/>
    <col min="4921" max="4921" width="14.140625" style="3" bestFit="1" customWidth="1"/>
    <col min="4922" max="4922" width="14.140625" style="3" customWidth="1"/>
    <col min="4923" max="4923" width="14.140625" style="3" bestFit="1" customWidth="1"/>
    <col min="4924" max="4925" width="13.140625" style="3" bestFit="1" customWidth="1"/>
    <col min="4926" max="4926" width="14" style="3" customWidth="1"/>
    <col min="4927" max="4927" width="13.140625" style="3" customWidth="1"/>
    <col min="4928" max="4928" width="16.42578125" style="3" customWidth="1"/>
    <col min="4929" max="4929" width="18.5703125" style="3" customWidth="1"/>
    <col min="4930" max="4930" width="8.140625" style="3" bestFit="1" customWidth="1"/>
    <col min="4931" max="5173" width="58.28515625" style="3"/>
    <col min="5174" max="5174" width="9" style="3" customWidth="1"/>
    <col min="5175" max="5175" width="60.28515625" style="3" customWidth="1"/>
    <col min="5176" max="5176" width="15.7109375" style="3" bestFit="1" customWidth="1"/>
    <col min="5177" max="5177" width="14.140625" style="3" bestFit="1" customWidth="1"/>
    <col min="5178" max="5178" width="14.140625" style="3" customWidth="1"/>
    <col min="5179" max="5179" width="14.140625" style="3" bestFit="1" customWidth="1"/>
    <col min="5180" max="5181" width="13.140625" style="3" bestFit="1" customWidth="1"/>
    <col min="5182" max="5182" width="14" style="3" customWidth="1"/>
    <col min="5183" max="5183" width="13.140625" style="3" customWidth="1"/>
    <col min="5184" max="5184" width="16.42578125" style="3" customWidth="1"/>
    <col min="5185" max="5185" width="18.5703125" style="3" customWidth="1"/>
    <col min="5186" max="5186" width="8.140625" style="3" bestFit="1" customWidth="1"/>
    <col min="5187" max="5429" width="58.28515625" style="3"/>
    <col min="5430" max="5430" width="9" style="3" customWidth="1"/>
    <col min="5431" max="5431" width="60.28515625" style="3" customWidth="1"/>
    <col min="5432" max="5432" width="15.7109375" style="3" bestFit="1" customWidth="1"/>
    <col min="5433" max="5433" width="14.140625" style="3" bestFit="1" customWidth="1"/>
    <col min="5434" max="5434" width="14.140625" style="3" customWidth="1"/>
    <col min="5435" max="5435" width="14.140625" style="3" bestFit="1" customWidth="1"/>
    <col min="5436" max="5437" width="13.140625" style="3" bestFit="1" customWidth="1"/>
    <col min="5438" max="5438" width="14" style="3" customWidth="1"/>
    <col min="5439" max="5439" width="13.140625" style="3" customWidth="1"/>
    <col min="5440" max="5440" width="16.42578125" style="3" customWidth="1"/>
    <col min="5441" max="5441" width="18.5703125" style="3" customWidth="1"/>
    <col min="5442" max="5442" width="8.140625" style="3" bestFit="1" customWidth="1"/>
    <col min="5443" max="5685" width="58.28515625" style="3"/>
    <col min="5686" max="5686" width="9" style="3" customWidth="1"/>
    <col min="5687" max="5687" width="60.28515625" style="3" customWidth="1"/>
    <col min="5688" max="5688" width="15.7109375" style="3" bestFit="1" customWidth="1"/>
    <col min="5689" max="5689" width="14.140625" style="3" bestFit="1" customWidth="1"/>
    <col min="5690" max="5690" width="14.140625" style="3" customWidth="1"/>
    <col min="5691" max="5691" width="14.140625" style="3" bestFit="1" customWidth="1"/>
    <col min="5692" max="5693" width="13.140625" style="3" bestFit="1" customWidth="1"/>
    <col min="5694" max="5694" width="14" style="3" customWidth="1"/>
    <col min="5695" max="5695" width="13.140625" style="3" customWidth="1"/>
    <col min="5696" max="5696" width="16.42578125" style="3" customWidth="1"/>
    <col min="5697" max="5697" width="18.5703125" style="3" customWidth="1"/>
    <col min="5698" max="5698" width="8.140625" style="3" bestFit="1" customWidth="1"/>
    <col min="5699" max="5941" width="58.28515625" style="3"/>
    <col min="5942" max="5942" width="9" style="3" customWidth="1"/>
    <col min="5943" max="5943" width="60.28515625" style="3" customWidth="1"/>
    <col min="5944" max="5944" width="15.7109375" style="3" bestFit="1" customWidth="1"/>
    <col min="5945" max="5945" width="14.140625" style="3" bestFit="1" customWidth="1"/>
    <col min="5946" max="5946" width="14.140625" style="3" customWidth="1"/>
    <col min="5947" max="5947" width="14.140625" style="3" bestFit="1" customWidth="1"/>
    <col min="5948" max="5949" width="13.140625" style="3" bestFit="1" customWidth="1"/>
    <col min="5950" max="5950" width="14" style="3" customWidth="1"/>
    <col min="5951" max="5951" width="13.140625" style="3" customWidth="1"/>
    <col min="5952" max="5952" width="16.42578125" style="3" customWidth="1"/>
    <col min="5953" max="5953" width="18.5703125" style="3" customWidth="1"/>
    <col min="5954" max="5954" width="8.140625" style="3" bestFit="1" customWidth="1"/>
    <col min="5955" max="6197" width="58.28515625" style="3"/>
    <col min="6198" max="6198" width="9" style="3" customWidth="1"/>
    <col min="6199" max="6199" width="60.28515625" style="3" customWidth="1"/>
    <col min="6200" max="6200" width="15.7109375" style="3" bestFit="1" customWidth="1"/>
    <col min="6201" max="6201" width="14.140625" style="3" bestFit="1" customWidth="1"/>
    <col min="6202" max="6202" width="14.140625" style="3" customWidth="1"/>
    <col min="6203" max="6203" width="14.140625" style="3" bestFit="1" customWidth="1"/>
    <col min="6204" max="6205" width="13.140625" style="3" bestFit="1" customWidth="1"/>
    <col min="6206" max="6206" width="14" style="3" customWidth="1"/>
    <col min="6207" max="6207" width="13.140625" style="3" customWidth="1"/>
    <col min="6208" max="6208" width="16.42578125" style="3" customWidth="1"/>
    <col min="6209" max="6209" width="18.5703125" style="3" customWidth="1"/>
    <col min="6210" max="6210" width="8.140625" style="3" bestFit="1" customWidth="1"/>
    <col min="6211" max="6453" width="58.28515625" style="3"/>
    <col min="6454" max="6454" width="9" style="3" customWidth="1"/>
    <col min="6455" max="6455" width="60.28515625" style="3" customWidth="1"/>
    <col min="6456" max="6456" width="15.7109375" style="3" bestFit="1" customWidth="1"/>
    <col min="6457" max="6457" width="14.140625" style="3" bestFit="1" customWidth="1"/>
    <col min="6458" max="6458" width="14.140625" style="3" customWidth="1"/>
    <col min="6459" max="6459" width="14.140625" style="3" bestFit="1" customWidth="1"/>
    <col min="6460" max="6461" width="13.140625" style="3" bestFit="1" customWidth="1"/>
    <col min="6462" max="6462" width="14" style="3" customWidth="1"/>
    <col min="6463" max="6463" width="13.140625" style="3" customWidth="1"/>
    <col min="6464" max="6464" width="16.42578125" style="3" customWidth="1"/>
    <col min="6465" max="6465" width="18.5703125" style="3" customWidth="1"/>
    <col min="6466" max="6466" width="8.140625" style="3" bestFit="1" customWidth="1"/>
    <col min="6467" max="6709" width="58.28515625" style="3"/>
    <col min="6710" max="6710" width="9" style="3" customWidth="1"/>
    <col min="6711" max="6711" width="60.28515625" style="3" customWidth="1"/>
    <col min="6712" max="6712" width="15.7109375" style="3" bestFit="1" customWidth="1"/>
    <col min="6713" max="6713" width="14.140625" style="3" bestFit="1" customWidth="1"/>
    <col min="6714" max="6714" width="14.140625" style="3" customWidth="1"/>
    <col min="6715" max="6715" width="14.140625" style="3" bestFit="1" customWidth="1"/>
    <col min="6716" max="6717" width="13.140625" style="3" bestFit="1" customWidth="1"/>
    <col min="6718" max="6718" width="14" style="3" customWidth="1"/>
    <col min="6719" max="6719" width="13.140625" style="3" customWidth="1"/>
    <col min="6720" max="6720" width="16.42578125" style="3" customWidth="1"/>
    <col min="6721" max="6721" width="18.5703125" style="3" customWidth="1"/>
    <col min="6722" max="6722" width="8.140625" style="3" bestFit="1" customWidth="1"/>
    <col min="6723" max="6965" width="58.28515625" style="3"/>
    <col min="6966" max="6966" width="9" style="3" customWidth="1"/>
    <col min="6967" max="6967" width="60.28515625" style="3" customWidth="1"/>
    <col min="6968" max="6968" width="15.7109375" style="3" bestFit="1" customWidth="1"/>
    <col min="6969" max="6969" width="14.140625" style="3" bestFit="1" customWidth="1"/>
    <col min="6970" max="6970" width="14.140625" style="3" customWidth="1"/>
    <col min="6971" max="6971" width="14.140625" style="3" bestFit="1" customWidth="1"/>
    <col min="6972" max="6973" width="13.140625" style="3" bestFit="1" customWidth="1"/>
    <col min="6974" max="6974" width="14" style="3" customWidth="1"/>
    <col min="6975" max="6975" width="13.140625" style="3" customWidth="1"/>
    <col min="6976" max="6976" width="16.42578125" style="3" customWidth="1"/>
    <col min="6977" max="6977" width="18.5703125" style="3" customWidth="1"/>
    <col min="6978" max="6978" width="8.140625" style="3" bestFit="1" customWidth="1"/>
    <col min="6979" max="7221" width="58.28515625" style="3"/>
    <col min="7222" max="7222" width="9" style="3" customWidth="1"/>
    <col min="7223" max="7223" width="60.28515625" style="3" customWidth="1"/>
    <col min="7224" max="7224" width="15.7109375" style="3" bestFit="1" customWidth="1"/>
    <col min="7225" max="7225" width="14.140625" style="3" bestFit="1" customWidth="1"/>
    <col min="7226" max="7226" width="14.140625" style="3" customWidth="1"/>
    <col min="7227" max="7227" width="14.140625" style="3" bestFit="1" customWidth="1"/>
    <col min="7228" max="7229" width="13.140625" style="3" bestFit="1" customWidth="1"/>
    <col min="7230" max="7230" width="14" style="3" customWidth="1"/>
    <col min="7231" max="7231" width="13.140625" style="3" customWidth="1"/>
    <col min="7232" max="7232" width="16.42578125" style="3" customWidth="1"/>
    <col min="7233" max="7233" width="18.5703125" style="3" customWidth="1"/>
    <col min="7234" max="7234" width="8.140625" style="3" bestFit="1" customWidth="1"/>
    <col min="7235" max="7477" width="58.28515625" style="3"/>
    <col min="7478" max="7478" width="9" style="3" customWidth="1"/>
    <col min="7479" max="7479" width="60.28515625" style="3" customWidth="1"/>
    <col min="7480" max="7480" width="15.7109375" style="3" bestFit="1" customWidth="1"/>
    <col min="7481" max="7481" width="14.140625" style="3" bestFit="1" customWidth="1"/>
    <col min="7482" max="7482" width="14.140625" style="3" customWidth="1"/>
    <col min="7483" max="7483" width="14.140625" style="3" bestFit="1" customWidth="1"/>
    <col min="7484" max="7485" width="13.140625" style="3" bestFit="1" customWidth="1"/>
    <col min="7486" max="7486" width="14" style="3" customWidth="1"/>
    <col min="7487" max="7487" width="13.140625" style="3" customWidth="1"/>
    <col min="7488" max="7488" width="16.42578125" style="3" customWidth="1"/>
    <col min="7489" max="7489" width="18.5703125" style="3" customWidth="1"/>
    <col min="7490" max="7490" width="8.140625" style="3" bestFit="1" customWidth="1"/>
    <col min="7491" max="7733" width="58.28515625" style="3"/>
    <col min="7734" max="7734" width="9" style="3" customWidth="1"/>
    <col min="7735" max="7735" width="60.28515625" style="3" customWidth="1"/>
    <col min="7736" max="7736" width="15.7109375" style="3" bestFit="1" customWidth="1"/>
    <col min="7737" max="7737" width="14.140625" style="3" bestFit="1" customWidth="1"/>
    <col min="7738" max="7738" width="14.140625" style="3" customWidth="1"/>
    <col min="7739" max="7739" width="14.140625" style="3" bestFit="1" customWidth="1"/>
    <col min="7740" max="7741" width="13.140625" style="3" bestFit="1" customWidth="1"/>
    <col min="7742" max="7742" width="14" style="3" customWidth="1"/>
    <col min="7743" max="7743" width="13.140625" style="3" customWidth="1"/>
    <col min="7744" max="7744" width="16.42578125" style="3" customWidth="1"/>
    <col min="7745" max="7745" width="18.5703125" style="3" customWidth="1"/>
    <col min="7746" max="7746" width="8.140625" style="3" bestFit="1" customWidth="1"/>
    <col min="7747" max="7989" width="58.28515625" style="3"/>
    <col min="7990" max="7990" width="9" style="3" customWidth="1"/>
    <col min="7991" max="7991" width="60.28515625" style="3" customWidth="1"/>
    <col min="7992" max="7992" width="15.7109375" style="3" bestFit="1" customWidth="1"/>
    <col min="7993" max="7993" width="14.140625" style="3" bestFit="1" customWidth="1"/>
    <col min="7994" max="7994" width="14.140625" style="3" customWidth="1"/>
    <col min="7995" max="7995" width="14.140625" style="3" bestFit="1" customWidth="1"/>
    <col min="7996" max="7997" width="13.140625" style="3" bestFit="1" customWidth="1"/>
    <col min="7998" max="7998" width="14" style="3" customWidth="1"/>
    <col min="7999" max="7999" width="13.140625" style="3" customWidth="1"/>
    <col min="8000" max="8000" width="16.42578125" style="3" customWidth="1"/>
    <col min="8001" max="8001" width="18.5703125" style="3" customWidth="1"/>
    <col min="8002" max="8002" width="8.140625" style="3" bestFit="1" customWidth="1"/>
    <col min="8003" max="8245" width="58.28515625" style="3"/>
    <col min="8246" max="8246" width="9" style="3" customWidth="1"/>
    <col min="8247" max="8247" width="60.28515625" style="3" customWidth="1"/>
    <col min="8248" max="8248" width="15.7109375" style="3" bestFit="1" customWidth="1"/>
    <col min="8249" max="8249" width="14.140625" style="3" bestFit="1" customWidth="1"/>
    <col min="8250" max="8250" width="14.140625" style="3" customWidth="1"/>
    <col min="8251" max="8251" width="14.140625" style="3" bestFit="1" customWidth="1"/>
    <col min="8252" max="8253" width="13.140625" style="3" bestFit="1" customWidth="1"/>
    <col min="8254" max="8254" width="14" style="3" customWidth="1"/>
    <col min="8255" max="8255" width="13.140625" style="3" customWidth="1"/>
    <col min="8256" max="8256" width="16.42578125" style="3" customWidth="1"/>
    <col min="8257" max="8257" width="18.5703125" style="3" customWidth="1"/>
    <col min="8258" max="8258" width="8.140625" style="3" bestFit="1" customWidth="1"/>
    <col min="8259" max="8501" width="58.28515625" style="3"/>
    <col min="8502" max="8502" width="9" style="3" customWidth="1"/>
    <col min="8503" max="8503" width="60.28515625" style="3" customWidth="1"/>
    <col min="8504" max="8504" width="15.7109375" style="3" bestFit="1" customWidth="1"/>
    <col min="8505" max="8505" width="14.140625" style="3" bestFit="1" customWidth="1"/>
    <col min="8506" max="8506" width="14.140625" style="3" customWidth="1"/>
    <col min="8507" max="8507" width="14.140625" style="3" bestFit="1" customWidth="1"/>
    <col min="8508" max="8509" width="13.140625" style="3" bestFit="1" customWidth="1"/>
    <col min="8510" max="8510" width="14" style="3" customWidth="1"/>
    <col min="8511" max="8511" width="13.140625" style="3" customWidth="1"/>
    <col min="8512" max="8512" width="16.42578125" style="3" customWidth="1"/>
    <col min="8513" max="8513" width="18.5703125" style="3" customWidth="1"/>
    <col min="8514" max="8514" width="8.140625" style="3" bestFit="1" customWidth="1"/>
    <col min="8515" max="8757" width="58.28515625" style="3"/>
    <col min="8758" max="8758" width="9" style="3" customWidth="1"/>
    <col min="8759" max="8759" width="60.28515625" style="3" customWidth="1"/>
    <col min="8760" max="8760" width="15.7109375" style="3" bestFit="1" customWidth="1"/>
    <col min="8761" max="8761" width="14.140625" style="3" bestFit="1" customWidth="1"/>
    <col min="8762" max="8762" width="14.140625" style="3" customWidth="1"/>
    <col min="8763" max="8763" width="14.140625" style="3" bestFit="1" customWidth="1"/>
    <col min="8764" max="8765" width="13.140625" style="3" bestFit="1" customWidth="1"/>
    <col min="8766" max="8766" width="14" style="3" customWidth="1"/>
    <col min="8767" max="8767" width="13.140625" style="3" customWidth="1"/>
    <col min="8768" max="8768" width="16.42578125" style="3" customWidth="1"/>
    <col min="8769" max="8769" width="18.5703125" style="3" customWidth="1"/>
    <col min="8770" max="8770" width="8.140625" style="3" bestFit="1" customWidth="1"/>
    <col min="8771" max="9013" width="58.28515625" style="3"/>
    <col min="9014" max="9014" width="9" style="3" customWidth="1"/>
    <col min="9015" max="9015" width="60.28515625" style="3" customWidth="1"/>
    <col min="9016" max="9016" width="15.7109375" style="3" bestFit="1" customWidth="1"/>
    <col min="9017" max="9017" width="14.140625" style="3" bestFit="1" customWidth="1"/>
    <col min="9018" max="9018" width="14.140625" style="3" customWidth="1"/>
    <col min="9019" max="9019" width="14.140625" style="3" bestFit="1" customWidth="1"/>
    <col min="9020" max="9021" width="13.140625" style="3" bestFit="1" customWidth="1"/>
    <col min="9022" max="9022" width="14" style="3" customWidth="1"/>
    <col min="9023" max="9023" width="13.140625" style="3" customWidth="1"/>
    <col min="9024" max="9024" width="16.42578125" style="3" customWidth="1"/>
    <col min="9025" max="9025" width="18.5703125" style="3" customWidth="1"/>
    <col min="9026" max="9026" width="8.140625" style="3" bestFit="1" customWidth="1"/>
    <col min="9027" max="9269" width="58.28515625" style="3"/>
    <col min="9270" max="9270" width="9" style="3" customWidth="1"/>
    <col min="9271" max="9271" width="60.28515625" style="3" customWidth="1"/>
    <col min="9272" max="9272" width="15.7109375" style="3" bestFit="1" customWidth="1"/>
    <col min="9273" max="9273" width="14.140625" style="3" bestFit="1" customWidth="1"/>
    <col min="9274" max="9274" width="14.140625" style="3" customWidth="1"/>
    <col min="9275" max="9275" width="14.140625" style="3" bestFit="1" customWidth="1"/>
    <col min="9276" max="9277" width="13.140625" style="3" bestFit="1" customWidth="1"/>
    <col min="9278" max="9278" width="14" style="3" customWidth="1"/>
    <col min="9279" max="9279" width="13.140625" style="3" customWidth="1"/>
    <col min="9280" max="9280" width="16.42578125" style="3" customWidth="1"/>
    <col min="9281" max="9281" width="18.5703125" style="3" customWidth="1"/>
    <col min="9282" max="9282" width="8.140625" style="3" bestFit="1" customWidth="1"/>
    <col min="9283" max="9525" width="58.28515625" style="3"/>
    <col min="9526" max="9526" width="9" style="3" customWidth="1"/>
    <col min="9527" max="9527" width="60.28515625" style="3" customWidth="1"/>
    <col min="9528" max="9528" width="15.7109375" style="3" bestFit="1" customWidth="1"/>
    <col min="9529" max="9529" width="14.140625" style="3" bestFit="1" customWidth="1"/>
    <col min="9530" max="9530" width="14.140625" style="3" customWidth="1"/>
    <col min="9531" max="9531" width="14.140625" style="3" bestFit="1" customWidth="1"/>
    <col min="9532" max="9533" width="13.140625" style="3" bestFit="1" customWidth="1"/>
    <col min="9534" max="9534" width="14" style="3" customWidth="1"/>
    <col min="9535" max="9535" width="13.140625" style="3" customWidth="1"/>
    <col min="9536" max="9536" width="16.42578125" style="3" customWidth="1"/>
    <col min="9537" max="9537" width="18.5703125" style="3" customWidth="1"/>
    <col min="9538" max="9538" width="8.140625" style="3" bestFit="1" customWidth="1"/>
    <col min="9539" max="9781" width="58.28515625" style="3"/>
    <col min="9782" max="9782" width="9" style="3" customWidth="1"/>
    <col min="9783" max="9783" width="60.28515625" style="3" customWidth="1"/>
    <col min="9784" max="9784" width="15.7109375" style="3" bestFit="1" customWidth="1"/>
    <col min="9785" max="9785" width="14.140625" style="3" bestFit="1" customWidth="1"/>
    <col min="9786" max="9786" width="14.140625" style="3" customWidth="1"/>
    <col min="9787" max="9787" width="14.140625" style="3" bestFit="1" customWidth="1"/>
    <col min="9788" max="9789" width="13.140625" style="3" bestFit="1" customWidth="1"/>
    <col min="9790" max="9790" width="14" style="3" customWidth="1"/>
    <col min="9791" max="9791" width="13.140625" style="3" customWidth="1"/>
    <col min="9792" max="9792" width="16.42578125" style="3" customWidth="1"/>
    <col min="9793" max="9793" width="18.5703125" style="3" customWidth="1"/>
    <col min="9794" max="9794" width="8.140625" style="3" bestFit="1" customWidth="1"/>
    <col min="9795" max="10037" width="58.28515625" style="3"/>
    <col min="10038" max="10038" width="9" style="3" customWidth="1"/>
    <col min="10039" max="10039" width="60.28515625" style="3" customWidth="1"/>
    <col min="10040" max="10040" width="15.7109375" style="3" bestFit="1" customWidth="1"/>
    <col min="10041" max="10041" width="14.140625" style="3" bestFit="1" customWidth="1"/>
    <col min="10042" max="10042" width="14.140625" style="3" customWidth="1"/>
    <col min="10043" max="10043" width="14.140625" style="3" bestFit="1" customWidth="1"/>
    <col min="10044" max="10045" width="13.140625" style="3" bestFit="1" customWidth="1"/>
    <col min="10046" max="10046" width="14" style="3" customWidth="1"/>
    <col min="10047" max="10047" width="13.140625" style="3" customWidth="1"/>
    <col min="10048" max="10048" width="16.42578125" style="3" customWidth="1"/>
    <col min="10049" max="10049" width="18.5703125" style="3" customWidth="1"/>
    <col min="10050" max="10050" width="8.140625" style="3" bestFit="1" customWidth="1"/>
    <col min="10051" max="10293" width="58.28515625" style="3"/>
    <col min="10294" max="10294" width="9" style="3" customWidth="1"/>
    <col min="10295" max="10295" width="60.28515625" style="3" customWidth="1"/>
    <col min="10296" max="10296" width="15.7109375" style="3" bestFit="1" customWidth="1"/>
    <col min="10297" max="10297" width="14.140625" style="3" bestFit="1" customWidth="1"/>
    <col min="10298" max="10298" width="14.140625" style="3" customWidth="1"/>
    <col min="10299" max="10299" width="14.140625" style="3" bestFit="1" customWidth="1"/>
    <col min="10300" max="10301" width="13.140625" style="3" bestFit="1" customWidth="1"/>
    <col min="10302" max="10302" width="14" style="3" customWidth="1"/>
    <col min="10303" max="10303" width="13.140625" style="3" customWidth="1"/>
    <col min="10304" max="10304" width="16.42578125" style="3" customWidth="1"/>
    <col min="10305" max="10305" width="18.5703125" style="3" customWidth="1"/>
    <col min="10306" max="10306" width="8.140625" style="3" bestFit="1" customWidth="1"/>
    <col min="10307" max="10549" width="58.28515625" style="3"/>
    <col min="10550" max="10550" width="9" style="3" customWidth="1"/>
    <col min="10551" max="10551" width="60.28515625" style="3" customWidth="1"/>
    <col min="10552" max="10552" width="15.7109375" style="3" bestFit="1" customWidth="1"/>
    <col min="10553" max="10553" width="14.140625" style="3" bestFit="1" customWidth="1"/>
    <col min="10554" max="10554" width="14.140625" style="3" customWidth="1"/>
    <col min="10555" max="10555" width="14.140625" style="3" bestFit="1" customWidth="1"/>
    <col min="10556" max="10557" width="13.140625" style="3" bestFit="1" customWidth="1"/>
    <col min="10558" max="10558" width="14" style="3" customWidth="1"/>
    <col min="10559" max="10559" width="13.140625" style="3" customWidth="1"/>
    <col min="10560" max="10560" width="16.42578125" style="3" customWidth="1"/>
    <col min="10561" max="10561" width="18.5703125" style="3" customWidth="1"/>
    <col min="10562" max="10562" width="8.140625" style="3" bestFit="1" customWidth="1"/>
    <col min="10563" max="10805" width="58.28515625" style="3"/>
    <col min="10806" max="10806" width="9" style="3" customWidth="1"/>
    <col min="10807" max="10807" width="60.28515625" style="3" customWidth="1"/>
    <col min="10808" max="10808" width="15.7109375" style="3" bestFit="1" customWidth="1"/>
    <col min="10809" max="10809" width="14.140625" style="3" bestFit="1" customWidth="1"/>
    <col min="10810" max="10810" width="14.140625" style="3" customWidth="1"/>
    <col min="10811" max="10811" width="14.140625" style="3" bestFit="1" customWidth="1"/>
    <col min="10812" max="10813" width="13.140625" style="3" bestFit="1" customWidth="1"/>
    <col min="10814" max="10814" width="14" style="3" customWidth="1"/>
    <col min="10815" max="10815" width="13.140625" style="3" customWidth="1"/>
    <col min="10816" max="10816" width="16.42578125" style="3" customWidth="1"/>
    <col min="10817" max="10817" width="18.5703125" style="3" customWidth="1"/>
    <col min="10818" max="10818" width="8.140625" style="3" bestFit="1" customWidth="1"/>
    <col min="10819" max="11061" width="58.28515625" style="3"/>
    <col min="11062" max="11062" width="9" style="3" customWidth="1"/>
    <col min="11063" max="11063" width="60.28515625" style="3" customWidth="1"/>
    <col min="11064" max="11064" width="15.7109375" style="3" bestFit="1" customWidth="1"/>
    <col min="11065" max="11065" width="14.140625" style="3" bestFit="1" customWidth="1"/>
    <col min="11066" max="11066" width="14.140625" style="3" customWidth="1"/>
    <col min="11067" max="11067" width="14.140625" style="3" bestFit="1" customWidth="1"/>
    <col min="11068" max="11069" width="13.140625" style="3" bestFit="1" customWidth="1"/>
    <col min="11070" max="11070" width="14" style="3" customWidth="1"/>
    <col min="11071" max="11071" width="13.140625" style="3" customWidth="1"/>
    <col min="11072" max="11072" width="16.42578125" style="3" customWidth="1"/>
    <col min="11073" max="11073" width="18.5703125" style="3" customWidth="1"/>
    <col min="11074" max="11074" width="8.140625" style="3" bestFit="1" customWidth="1"/>
    <col min="11075" max="11317" width="58.28515625" style="3"/>
    <col min="11318" max="11318" width="9" style="3" customWidth="1"/>
    <col min="11319" max="11319" width="60.28515625" style="3" customWidth="1"/>
    <col min="11320" max="11320" width="15.7109375" style="3" bestFit="1" customWidth="1"/>
    <col min="11321" max="11321" width="14.140625" style="3" bestFit="1" customWidth="1"/>
    <col min="11322" max="11322" width="14.140625" style="3" customWidth="1"/>
    <col min="11323" max="11323" width="14.140625" style="3" bestFit="1" customWidth="1"/>
    <col min="11324" max="11325" width="13.140625" style="3" bestFit="1" customWidth="1"/>
    <col min="11326" max="11326" width="14" style="3" customWidth="1"/>
    <col min="11327" max="11327" width="13.140625" style="3" customWidth="1"/>
    <col min="11328" max="11328" width="16.42578125" style="3" customWidth="1"/>
    <col min="11329" max="11329" width="18.5703125" style="3" customWidth="1"/>
    <col min="11330" max="11330" width="8.140625" style="3" bestFit="1" customWidth="1"/>
    <col min="11331" max="11573" width="58.28515625" style="3"/>
    <col min="11574" max="11574" width="9" style="3" customWidth="1"/>
    <col min="11575" max="11575" width="60.28515625" style="3" customWidth="1"/>
    <col min="11576" max="11576" width="15.7109375" style="3" bestFit="1" customWidth="1"/>
    <col min="11577" max="11577" width="14.140625" style="3" bestFit="1" customWidth="1"/>
    <col min="11578" max="11578" width="14.140625" style="3" customWidth="1"/>
    <col min="11579" max="11579" width="14.140625" style="3" bestFit="1" customWidth="1"/>
    <col min="11580" max="11581" width="13.140625" style="3" bestFit="1" customWidth="1"/>
    <col min="11582" max="11582" width="14" style="3" customWidth="1"/>
    <col min="11583" max="11583" width="13.140625" style="3" customWidth="1"/>
    <col min="11584" max="11584" width="16.42578125" style="3" customWidth="1"/>
    <col min="11585" max="11585" width="18.5703125" style="3" customWidth="1"/>
    <col min="11586" max="11586" width="8.140625" style="3" bestFit="1" customWidth="1"/>
    <col min="11587" max="11829" width="58.28515625" style="3"/>
    <col min="11830" max="11830" width="9" style="3" customWidth="1"/>
    <col min="11831" max="11831" width="60.28515625" style="3" customWidth="1"/>
    <col min="11832" max="11832" width="15.7109375" style="3" bestFit="1" customWidth="1"/>
    <col min="11833" max="11833" width="14.140625" style="3" bestFit="1" customWidth="1"/>
    <col min="11834" max="11834" width="14.140625" style="3" customWidth="1"/>
    <col min="11835" max="11835" width="14.140625" style="3" bestFit="1" customWidth="1"/>
    <col min="11836" max="11837" width="13.140625" style="3" bestFit="1" customWidth="1"/>
    <col min="11838" max="11838" width="14" style="3" customWidth="1"/>
    <col min="11839" max="11839" width="13.140625" style="3" customWidth="1"/>
    <col min="11840" max="11840" width="16.42578125" style="3" customWidth="1"/>
    <col min="11841" max="11841" width="18.5703125" style="3" customWidth="1"/>
    <col min="11842" max="11842" width="8.140625" style="3" bestFit="1" customWidth="1"/>
    <col min="11843" max="12085" width="58.28515625" style="3"/>
    <col min="12086" max="12086" width="9" style="3" customWidth="1"/>
    <col min="12087" max="12087" width="60.28515625" style="3" customWidth="1"/>
    <col min="12088" max="12088" width="15.7109375" style="3" bestFit="1" customWidth="1"/>
    <col min="12089" max="12089" width="14.140625" style="3" bestFit="1" customWidth="1"/>
    <col min="12090" max="12090" width="14.140625" style="3" customWidth="1"/>
    <col min="12091" max="12091" width="14.140625" style="3" bestFit="1" customWidth="1"/>
    <col min="12092" max="12093" width="13.140625" style="3" bestFit="1" customWidth="1"/>
    <col min="12094" max="12094" width="14" style="3" customWidth="1"/>
    <col min="12095" max="12095" width="13.140625" style="3" customWidth="1"/>
    <col min="12096" max="12096" width="16.42578125" style="3" customWidth="1"/>
    <col min="12097" max="12097" width="18.5703125" style="3" customWidth="1"/>
    <col min="12098" max="12098" width="8.140625" style="3" bestFit="1" customWidth="1"/>
    <col min="12099" max="12341" width="58.28515625" style="3"/>
    <col min="12342" max="12342" width="9" style="3" customWidth="1"/>
    <col min="12343" max="12343" width="60.28515625" style="3" customWidth="1"/>
    <col min="12344" max="12344" width="15.7109375" style="3" bestFit="1" customWidth="1"/>
    <col min="12345" max="12345" width="14.140625" style="3" bestFit="1" customWidth="1"/>
    <col min="12346" max="12346" width="14.140625" style="3" customWidth="1"/>
    <col min="12347" max="12347" width="14.140625" style="3" bestFit="1" customWidth="1"/>
    <col min="12348" max="12349" width="13.140625" style="3" bestFit="1" customWidth="1"/>
    <col min="12350" max="12350" width="14" style="3" customWidth="1"/>
    <col min="12351" max="12351" width="13.140625" style="3" customWidth="1"/>
    <col min="12352" max="12352" width="16.42578125" style="3" customWidth="1"/>
    <col min="12353" max="12353" width="18.5703125" style="3" customWidth="1"/>
    <col min="12354" max="12354" width="8.140625" style="3" bestFit="1" customWidth="1"/>
    <col min="12355" max="12597" width="58.28515625" style="3"/>
    <col min="12598" max="12598" width="9" style="3" customWidth="1"/>
    <col min="12599" max="12599" width="60.28515625" style="3" customWidth="1"/>
    <col min="12600" max="12600" width="15.7109375" style="3" bestFit="1" customWidth="1"/>
    <col min="12601" max="12601" width="14.140625" style="3" bestFit="1" customWidth="1"/>
    <col min="12602" max="12602" width="14.140625" style="3" customWidth="1"/>
    <col min="12603" max="12603" width="14.140625" style="3" bestFit="1" customWidth="1"/>
    <col min="12604" max="12605" width="13.140625" style="3" bestFit="1" customWidth="1"/>
    <col min="12606" max="12606" width="14" style="3" customWidth="1"/>
    <col min="12607" max="12607" width="13.140625" style="3" customWidth="1"/>
    <col min="12608" max="12608" width="16.42578125" style="3" customWidth="1"/>
    <col min="12609" max="12609" width="18.5703125" style="3" customWidth="1"/>
    <col min="12610" max="12610" width="8.140625" style="3" bestFit="1" customWidth="1"/>
    <col min="12611" max="12853" width="58.28515625" style="3"/>
    <col min="12854" max="12854" width="9" style="3" customWidth="1"/>
    <col min="12855" max="12855" width="60.28515625" style="3" customWidth="1"/>
    <col min="12856" max="12856" width="15.7109375" style="3" bestFit="1" customWidth="1"/>
    <col min="12857" max="12857" width="14.140625" style="3" bestFit="1" customWidth="1"/>
    <col min="12858" max="12858" width="14.140625" style="3" customWidth="1"/>
    <col min="12859" max="12859" width="14.140625" style="3" bestFit="1" customWidth="1"/>
    <col min="12860" max="12861" width="13.140625" style="3" bestFit="1" customWidth="1"/>
    <col min="12862" max="12862" width="14" style="3" customWidth="1"/>
    <col min="12863" max="12863" width="13.140625" style="3" customWidth="1"/>
    <col min="12864" max="12864" width="16.42578125" style="3" customWidth="1"/>
    <col min="12865" max="12865" width="18.5703125" style="3" customWidth="1"/>
    <col min="12866" max="12866" width="8.140625" style="3" bestFit="1" customWidth="1"/>
    <col min="12867" max="13109" width="58.28515625" style="3"/>
    <col min="13110" max="13110" width="9" style="3" customWidth="1"/>
    <col min="13111" max="13111" width="60.28515625" style="3" customWidth="1"/>
    <col min="13112" max="13112" width="15.7109375" style="3" bestFit="1" customWidth="1"/>
    <col min="13113" max="13113" width="14.140625" style="3" bestFit="1" customWidth="1"/>
    <col min="13114" max="13114" width="14.140625" style="3" customWidth="1"/>
    <col min="13115" max="13115" width="14.140625" style="3" bestFit="1" customWidth="1"/>
    <col min="13116" max="13117" width="13.140625" style="3" bestFit="1" customWidth="1"/>
    <col min="13118" max="13118" width="14" style="3" customWidth="1"/>
    <col min="13119" max="13119" width="13.140625" style="3" customWidth="1"/>
    <col min="13120" max="13120" width="16.42578125" style="3" customWidth="1"/>
    <col min="13121" max="13121" width="18.5703125" style="3" customWidth="1"/>
    <col min="13122" max="13122" width="8.140625" style="3" bestFit="1" customWidth="1"/>
    <col min="13123" max="13365" width="58.28515625" style="3"/>
    <col min="13366" max="13366" width="9" style="3" customWidth="1"/>
    <col min="13367" max="13367" width="60.28515625" style="3" customWidth="1"/>
    <col min="13368" max="13368" width="15.7109375" style="3" bestFit="1" customWidth="1"/>
    <col min="13369" max="13369" width="14.140625" style="3" bestFit="1" customWidth="1"/>
    <col min="13370" max="13370" width="14.140625" style="3" customWidth="1"/>
    <col min="13371" max="13371" width="14.140625" style="3" bestFit="1" customWidth="1"/>
    <col min="13372" max="13373" width="13.140625" style="3" bestFit="1" customWidth="1"/>
    <col min="13374" max="13374" width="14" style="3" customWidth="1"/>
    <col min="13375" max="13375" width="13.140625" style="3" customWidth="1"/>
    <col min="13376" max="13376" width="16.42578125" style="3" customWidth="1"/>
    <col min="13377" max="13377" width="18.5703125" style="3" customWidth="1"/>
    <col min="13378" max="13378" width="8.140625" style="3" bestFit="1" customWidth="1"/>
    <col min="13379" max="13621" width="58.28515625" style="3"/>
    <col min="13622" max="13622" width="9" style="3" customWidth="1"/>
    <col min="13623" max="13623" width="60.28515625" style="3" customWidth="1"/>
    <col min="13624" max="13624" width="15.7109375" style="3" bestFit="1" customWidth="1"/>
    <col min="13625" max="13625" width="14.140625" style="3" bestFit="1" customWidth="1"/>
    <col min="13626" max="13626" width="14.140625" style="3" customWidth="1"/>
    <col min="13627" max="13627" width="14.140625" style="3" bestFit="1" customWidth="1"/>
    <col min="13628" max="13629" width="13.140625" style="3" bestFit="1" customWidth="1"/>
    <col min="13630" max="13630" width="14" style="3" customWidth="1"/>
    <col min="13631" max="13631" width="13.140625" style="3" customWidth="1"/>
    <col min="13632" max="13632" width="16.42578125" style="3" customWidth="1"/>
    <col min="13633" max="13633" width="18.5703125" style="3" customWidth="1"/>
    <col min="13634" max="13634" width="8.140625" style="3" bestFit="1" customWidth="1"/>
    <col min="13635" max="13877" width="58.28515625" style="3"/>
    <col min="13878" max="13878" width="9" style="3" customWidth="1"/>
    <col min="13879" max="13879" width="60.28515625" style="3" customWidth="1"/>
    <col min="13880" max="13880" width="15.7109375" style="3" bestFit="1" customWidth="1"/>
    <col min="13881" max="13881" width="14.140625" style="3" bestFit="1" customWidth="1"/>
    <col min="13882" max="13882" width="14.140625" style="3" customWidth="1"/>
    <col min="13883" max="13883" width="14.140625" style="3" bestFit="1" customWidth="1"/>
    <col min="13884" max="13885" width="13.140625" style="3" bestFit="1" customWidth="1"/>
    <col min="13886" max="13886" width="14" style="3" customWidth="1"/>
    <col min="13887" max="13887" width="13.140625" style="3" customWidth="1"/>
    <col min="13888" max="13888" width="16.42578125" style="3" customWidth="1"/>
    <col min="13889" max="13889" width="18.5703125" style="3" customWidth="1"/>
    <col min="13890" max="13890" width="8.140625" style="3" bestFit="1" customWidth="1"/>
    <col min="13891" max="14133" width="58.28515625" style="3"/>
    <col min="14134" max="14134" width="9" style="3" customWidth="1"/>
    <col min="14135" max="14135" width="60.28515625" style="3" customWidth="1"/>
    <col min="14136" max="14136" width="15.7109375" style="3" bestFit="1" customWidth="1"/>
    <col min="14137" max="14137" width="14.140625" style="3" bestFit="1" customWidth="1"/>
    <col min="14138" max="14138" width="14.140625" style="3" customWidth="1"/>
    <col min="14139" max="14139" width="14.140625" style="3" bestFit="1" customWidth="1"/>
    <col min="14140" max="14141" width="13.140625" style="3" bestFit="1" customWidth="1"/>
    <col min="14142" max="14142" width="14" style="3" customWidth="1"/>
    <col min="14143" max="14143" width="13.140625" style="3" customWidth="1"/>
    <col min="14144" max="14144" width="16.42578125" style="3" customWidth="1"/>
    <col min="14145" max="14145" width="18.5703125" style="3" customWidth="1"/>
    <col min="14146" max="14146" width="8.140625" style="3" bestFit="1" customWidth="1"/>
    <col min="14147" max="14389" width="58.28515625" style="3"/>
    <col min="14390" max="14390" width="9" style="3" customWidth="1"/>
    <col min="14391" max="14391" width="60.28515625" style="3" customWidth="1"/>
    <col min="14392" max="14392" width="15.7109375" style="3" bestFit="1" customWidth="1"/>
    <col min="14393" max="14393" width="14.140625" style="3" bestFit="1" customWidth="1"/>
    <col min="14394" max="14394" width="14.140625" style="3" customWidth="1"/>
    <col min="14395" max="14395" width="14.140625" style="3" bestFit="1" customWidth="1"/>
    <col min="14396" max="14397" width="13.140625" style="3" bestFit="1" customWidth="1"/>
    <col min="14398" max="14398" width="14" style="3" customWidth="1"/>
    <col min="14399" max="14399" width="13.140625" style="3" customWidth="1"/>
    <col min="14400" max="14400" width="16.42578125" style="3" customWidth="1"/>
    <col min="14401" max="14401" width="18.5703125" style="3" customWidth="1"/>
    <col min="14402" max="14402" width="8.140625" style="3" bestFit="1" customWidth="1"/>
    <col min="14403" max="14645" width="58.28515625" style="3"/>
    <col min="14646" max="14646" width="9" style="3" customWidth="1"/>
    <col min="14647" max="14647" width="60.28515625" style="3" customWidth="1"/>
    <col min="14648" max="14648" width="15.7109375" style="3" bestFit="1" customWidth="1"/>
    <col min="14649" max="14649" width="14.140625" style="3" bestFit="1" customWidth="1"/>
    <col min="14650" max="14650" width="14.140625" style="3" customWidth="1"/>
    <col min="14651" max="14651" width="14.140625" style="3" bestFit="1" customWidth="1"/>
    <col min="14652" max="14653" width="13.140625" style="3" bestFit="1" customWidth="1"/>
    <col min="14654" max="14654" width="14" style="3" customWidth="1"/>
    <col min="14655" max="14655" width="13.140625" style="3" customWidth="1"/>
    <col min="14656" max="14656" width="16.42578125" style="3" customWidth="1"/>
    <col min="14657" max="14657" width="18.5703125" style="3" customWidth="1"/>
    <col min="14658" max="14658" width="8.140625" style="3" bestFit="1" customWidth="1"/>
    <col min="14659" max="14901" width="58.28515625" style="3"/>
    <col min="14902" max="14902" width="9" style="3" customWidth="1"/>
    <col min="14903" max="14903" width="60.28515625" style="3" customWidth="1"/>
    <col min="14904" max="14904" width="15.7109375" style="3" bestFit="1" customWidth="1"/>
    <col min="14905" max="14905" width="14.140625" style="3" bestFit="1" customWidth="1"/>
    <col min="14906" max="14906" width="14.140625" style="3" customWidth="1"/>
    <col min="14907" max="14907" width="14.140625" style="3" bestFit="1" customWidth="1"/>
    <col min="14908" max="14909" width="13.140625" style="3" bestFit="1" customWidth="1"/>
    <col min="14910" max="14910" width="14" style="3" customWidth="1"/>
    <col min="14911" max="14911" width="13.140625" style="3" customWidth="1"/>
    <col min="14912" max="14912" width="16.42578125" style="3" customWidth="1"/>
    <col min="14913" max="14913" width="18.5703125" style="3" customWidth="1"/>
    <col min="14914" max="14914" width="8.140625" style="3" bestFit="1" customWidth="1"/>
    <col min="14915" max="15157" width="58.28515625" style="3"/>
    <col min="15158" max="15158" width="9" style="3" customWidth="1"/>
    <col min="15159" max="15159" width="60.28515625" style="3" customWidth="1"/>
    <col min="15160" max="15160" width="15.7109375" style="3" bestFit="1" customWidth="1"/>
    <col min="15161" max="15161" width="14.140625" style="3" bestFit="1" customWidth="1"/>
    <col min="15162" max="15162" width="14.140625" style="3" customWidth="1"/>
    <col min="15163" max="15163" width="14.140625" style="3" bestFit="1" customWidth="1"/>
    <col min="15164" max="15165" width="13.140625" style="3" bestFit="1" customWidth="1"/>
    <col min="15166" max="15166" width="14" style="3" customWidth="1"/>
    <col min="15167" max="15167" width="13.140625" style="3" customWidth="1"/>
    <col min="15168" max="15168" width="16.42578125" style="3" customWidth="1"/>
    <col min="15169" max="15169" width="18.5703125" style="3" customWidth="1"/>
    <col min="15170" max="15170" width="8.140625" style="3" bestFit="1" customWidth="1"/>
    <col min="15171" max="15413" width="58.28515625" style="3"/>
    <col min="15414" max="15414" width="9" style="3" customWidth="1"/>
    <col min="15415" max="15415" width="60.28515625" style="3" customWidth="1"/>
    <col min="15416" max="15416" width="15.7109375" style="3" bestFit="1" customWidth="1"/>
    <col min="15417" max="15417" width="14.140625" style="3" bestFit="1" customWidth="1"/>
    <col min="15418" max="15418" width="14.140625" style="3" customWidth="1"/>
    <col min="15419" max="15419" width="14.140625" style="3" bestFit="1" customWidth="1"/>
    <col min="15420" max="15421" width="13.140625" style="3" bestFit="1" customWidth="1"/>
    <col min="15422" max="15422" width="14" style="3" customWidth="1"/>
    <col min="15423" max="15423" width="13.140625" style="3" customWidth="1"/>
    <col min="15424" max="15424" width="16.42578125" style="3" customWidth="1"/>
    <col min="15425" max="15425" width="18.5703125" style="3" customWidth="1"/>
    <col min="15426" max="15426" width="8.140625" style="3" bestFit="1" customWidth="1"/>
    <col min="15427" max="15669" width="58.28515625" style="3"/>
    <col min="15670" max="15670" width="9" style="3" customWidth="1"/>
    <col min="15671" max="15671" width="60.28515625" style="3" customWidth="1"/>
    <col min="15672" max="15672" width="15.7109375" style="3" bestFit="1" customWidth="1"/>
    <col min="15673" max="15673" width="14.140625" style="3" bestFit="1" customWidth="1"/>
    <col min="15674" max="15674" width="14.140625" style="3" customWidth="1"/>
    <col min="15675" max="15675" width="14.140625" style="3" bestFit="1" customWidth="1"/>
    <col min="15676" max="15677" width="13.140625" style="3" bestFit="1" customWidth="1"/>
    <col min="15678" max="15678" width="14" style="3" customWidth="1"/>
    <col min="15679" max="15679" width="13.140625" style="3" customWidth="1"/>
    <col min="15680" max="15680" width="16.42578125" style="3" customWidth="1"/>
    <col min="15681" max="15681" width="18.5703125" style="3" customWidth="1"/>
    <col min="15682" max="15682" width="8.140625" style="3" bestFit="1" customWidth="1"/>
    <col min="15683" max="15925" width="58.28515625" style="3"/>
    <col min="15926" max="15926" width="9" style="3" customWidth="1"/>
    <col min="15927" max="15927" width="60.28515625" style="3" customWidth="1"/>
    <col min="15928" max="15928" width="15.7109375" style="3" bestFit="1" customWidth="1"/>
    <col min="15929" max="15929" width="14.140625" style="3" bestFit="1" customWidth="1"/>
    <col min="15930" max="15930" width="14.140625" style="3" customWidth="1"/>
    <col min="15931" max="15931" width="14.140625" style="3" bestFit="1" customWidth="1"/>
    <col min="15932" max="15933" width="13.140625" style="3" bestFit="1" customWidth="1"/>
    <col min="15934" max="15934" width="14" style="3" customWidth="1"/>
    <col min="15935" max="15935" width="13.140625" style="3" customWidth="1"/>
    <col min="15936" max="15936" width="16.42578125" style="3" customWidth="1"/>
    <col min="15937" max="15937" width="18.5703125" style="3" customWidth="1"/>
    <col min="15938" max="15938" width="8.140625" style="3" bestFit="1" customWidth="1"/>
    <col min="15939" max="16384" width="58.28515625" style="3"/>
  </cols>
  <sheetData>
    <row r="1" spans="1:13" x14ac:dyDescent="0.25">
      <c r="A1" s="86"/>
      <c r="B1" s="87"/>
      <c r="C1" s="88"/>
      <c r="D1" s="88"/>
      <c r="E1" s="88"/>
      <c r="F1" s="88"/>
      <c r="G1" s="88"/>
      <c r="H1" s="96"/>
      <c r="I1" s="96"/>
      <c r="J1" s="99" t="s">
        <v>66</v>
      </c>
      <c r="K1" s="99"/>
    </row>
    <row r="2" spans="1:13" x14ac:dyDescent="0.25">
      <c r="A2" s="86"/>
      <c r="B2" s="87"/>
      <c r="C2" s="88"/>
      <c r="D2" s="88"/>
      <c r="E2" s="88"/>
      <c r="F2" s="88"/>
      <c r="G2" s="88"/>
      <c r="H2" s="99" t="s">
        <v>74</v>
      </c>
      <c r="I2" s="99"/>
      <c r="J2" s="99"/>
      <c r="K2" s="99"/>
    </row>
    <row r="3" spans="1:13" x14ac:dyDescent="0.25">
      <c r="A3" s="86"/>
      <c r="B3" s="87"/>
      <c r="C3" s="88"/>
      <c r="D3" s="88"/>
      <c r="E3" s="88"/>
      <c r="F3" s="88"/>
      <c r="G3" s="88"/>
      <c r="H3" s="100" t="s">
        <v>76</v>
      </c>
      <c r="I3" s="100"/>
      <c r="J3" s="100"/>
      <c r="K3" s="100"/>
    </row>
    <row r="4" spans="1:13" x14ac:dyDescent="0.25">
      <c r="A4" s="86"/>
      <c r="B4" s="87"/>
      <c r="C4" s="88"/>
      <c r="D4" s="88"/>
      <c r="E4" s="88"/>
      <c r="F4" s="88"/>
      <c r="G4" s="88"/>
      <c r="H4" s="99" t="s">
        <v>75</v>
      </c>
      <c r="I4" s="99"/>
      <c r="J4" s="99"/>
      <c r="K4" s="99"/>
    </row>
    <row r="5" spans="1:13" x14ac:dyDescent="0.25">
      <c r="A5" s="86"/>
      <c r="B5" s="87"/>
      <c r="C5" s="88"/>
      <c r="D5" s="88"/>
      <c r="E5" s="88"/>
      <c r="F5" s="88"/>
      <c r="G5" s="88"/>
      <c r="H5" s="99" t="s">
        <v>65</v>
      </c>
      <c r="I5" s="99"/>
      <c r="J5" s="99"/>
      <c r="K5" s="99"/>
    </row>
    <row r="6" spans="1:13" x14ac:dyDescent="0.25">
      <c r="A6" s="86"/>
      <c r="B6" s="87"/>
      <c r="C6" s="88"/>
      <c r="D6" s="88"/>
      <c r="E6" s="88"/>
      <c r="F6" s="88"/>
      <c r="G6" s="88"/>
      <c r="H6" s="88"/>
      <c r="I6" s="88"/>
      <c r="J6" s="88"/>
      <c r="K6" s="89"/>
    </row>
    <row r="7" spans="1:13" s="4" customFormat="1" ht="15.75" customHeight="1" x14ac:dyDescent="0.25">
      <c r="A7" s="90"/>
      <c r="B7" s="91"/>
      <c r="C7" s="91"/>
      <c r="D7" s="91"/>
      <c r="E7" s="91"/>
      <c r="F7" s="91"/>
      <c r="G7" s="91"/>
      <c r="H7" s="91"/>
      <c r="I7" s="91"/>
      <c r="J7" s="91"/>
      <c r="K7" s="89" t="s">
        <v>66</v>
      </c>
    </row>
    <row r="8" spans="1:13" s="4" customFormat="1" ht="15.75" customHeight="1" x14ac:dyDescent="0.25">
      <c r="A8" s="90"/>
      <c r="B8" s="91"/>
      <c r="C8" s="91"/>
      <c r="D8" s="91"/>
      <c r="E8" s="91"/>
      <c r="F8" s="91"/>
      <c r="G8" s="91"/>
      <c r="H8" s="91"/>
      <c r="I8" s="91"/>
      <c r="J8" s="91"/>
      <c r="K8" s="89" t="s">
        <v>67</v>
      </c>
    </row>
    <row r="9" spans="1:13" s="4" customFormat="1" ht="15.75" customHeight="1" x14ac:dyDescent="0.25">
      <c r="A9" s="90"/>
      <c r="B9" s="91"/>
      <c r="C9" s="91"/>
      <c r="D9" s="91"/>
      <c r="E9" s="91"/>
      <c r="F9" s="91"/>
      <c r="G9" s="91"/>
      <c r="H9" s="91"/>
      <c r="I9" s="91"/>
      <c r="J9" s="91"/>
      <c r="K9" s="89" t="s">
        <v>65</v>
      </c>
    </row>
    <row r="10" spans="1:13" s="4" customFormat="1" x14ac:dyDescent="0.25">
      <c r="A10" s="90"/>
      <c r="B10" s="91"/>
      <c r="C10" s="91"/>
      <c r="D10" s="91"/>
      <c r="E10" s="91"/>
      <c r="F10" s="91"/>
      <c r="G10" s="91"/>
      <c r="H10" s="92"/>
      <c r="I10" s="92"/>
      <c r="J10" s="92"/>
      <c r="K10" s="92"/>
    </row>
    <row r="11" spans="1:13" ht="15.75" customHeight="1" x14ac:dyDescent="0.25">
      <c r="A11" s="98"/>
      <c r="B11" s="98"/>
      <c r="C11" s="98" t="s">
        <v>62</v>
      </c>
      <c r="D11" s="98"/>
      <c r="E11" s="98"/>
      <c r="F11" s="98"/>
      <c r="G11" s="98"/>
      <c r="H11" s="98"/>
      <c r="I11" s="98"/>
      <c r="J11" s="98"/>
      <c r="K11" s="98"/>
      <c r="L11" s="85"/>
      <c r="M11" s="85"/>
    </row>
    <row r="12" spans="1:13" ht="16.5" thickBot="1" x14ac:dyDescent="0.3">
      <c r="A12" s="86"/>
      <c r="B12" s="93"/>
      <c r="C12" s="88"/>
      <c r="D12" s="89"/>
      <c r="E12" s="89"/>
      <c r="F12" s="89"/>
      <c r="G12" s="89"/>
      <c r="H12" s="89"/>
      <c r="I12" s="94"/>
      <c r="J12" s="89"/>
      <c r="K12" s="95" t="s">
        <v>0</v>
      </c>
    </row>
    <row r="13" spans="1:13" s="10" customFormat="1" ht="32.25" thickBot="1" x14ac:dyDescent="0.3">
      <c r="A13" s="6" t="s">
        <v>1</v>
      </c>
      <c r="B13" s="7" t="s">
        <v>2</v>
      </c>
      <c r="C13" s="8" t="s">
        <v>3</v>
      </c>
      <c r="D13" s="8" t="s">
        <v>4</v>
      </c>
      <c r="E13" s="8" t="s">
        <v>5</v>
      </c>
      <c r="F13" s="8" t="s">
        <v>6</v>
      </c>
      <c r="G13" s="8" t="s">
        <v>7</v>
      </c>
      <c r="H13" s="8" t="s">
        <v>8</v>
      </c>
      <c r="I13" s="8" t="s">
        <v>9</v>
      </c>
      <c r="J13" s="8" t="s">
        <v>10</v>
      </c>
      <c r="K13" s="9" t="s">
        <v>11</v>
      </c>
    </row>
    <row r="14" spans="1:13" s="10" customFormat="1" x14ac:dyDescent="0.25">
      <c r="A14" s="11">
        <v>1000000</v>
      </c>
      <c r="B14" s="12" t="s">
        <v>12</v>
      </c>
      <c r="C14" s="13">
        <f t="shared" ref="C14:J14" si="0">SUM(C15+C26+C32+C41+C44)</f>
        <v>1269611663</v>
      </c>
      <c r="D14" s="13">
        <f t="shared" si="0"/>
        <v>126463146</v>
      </c>
      <c r="E14" s="13">
        <f t="shared" si="0"/>
        <v>121195277</v>
      </c>
      <c r="F14" s="13">
        <f t="shared" si="0"/>
        <v>70869648</v>
      </c>
      <c r="G14" s="13">
        <f t="shared" si="0"/>
        <v>30814025</v>
      </c>
      <c r="H14" s="13">
        <f t="shared" si="0"/>
        <v>48179628</v>
      </c>
      <c r="I14" s="13">
        <f t="shared" si="0"/>
        <v>29838288</v>
      </c>
      <c r="J14" s="13">
        <f t="shared" si="0"/>
        <v>8551543</v>
      </c>
      <c r="K14" s="14">
        <f>SUM(C14:J14)</f>
        <v>1705523218</v>
      </c>
    </row>
    <row r="15" spans="1:13" s="10" customFormat="1" x14ac:dyDescent="0.25">
      <c r="A15" s="15">
        <v>1010000</v>
      </c>
      <c r="B15" s="16" t="s">
        <v>13</v>
      </c>
      <c r="C15" s="17">
        <f t="shared" ref="C15:J15" si="1">SUM(C16+C17+C19+C20+C21+C22+C23+C24)</f>
        <v>814621910</v>
      </c>
      <c r="D15" s="17">
        <f t="shared" si="1"/>
        <v>123323833</v>
      </c>
      <c r="E15" s="17">
        <f t="shared" si="1"/>
        <v>111311953</v>
      </c>
      <c r="F15" s="17">
        <f t="shared" si="1"/>
        <v>50063075</v>
      </c>
      <c r="G15" s="17">
        <f t="shared" si="1"/>
        <v>26750406</v>
      </c>
      <c r="H15" s="17">
        <f t="shared" si="1"/>
        <v>40996333</v>
      </c>
      <c r="I15" s="17">
        <f t="shared" si="1"/>
        <v>18874844</v>
      </c>
      <c r="J15" s="17">
        <f t="shared" si="1"/>
        <v>7229898</v>
      </c>
      <c r="K15" s="18">
        <f t="shared" ref="K15" si="2">SUM(C15:J15)</f>
        <v>1193172252</v>
      </c>
    </row>
    <row r="16" spans="1:13" s="10" customFormat="1" x14ac:dyDescent="0.25">
      <c r="A16" s="15">
        <v>1010100</v>
      </c>
      <c r="B16" s="19" t="s">
        <v>14</v>
      </c>
      <c r="C16" s="17"/>
      <c r="D16" s="17"/>
      <c r="E16" s="17"/>
      <c r="F16" s="17"/>
      <c r="G16" s="17"/>
      <c r="H16" s="17"/>
      <c r="I16" s="17"/>
      <c r="J16" s="17"/>
      <c r="K16" s="18"/>
    </row>
    <row r="17" spans="1:11" s="10" customFormat="1" ht="31.5" x14ac:dyDescent="0.25">
      <c r="A17" s="15">
        <v>1010200</v>
      </c>
      <c r="B17" s="19" t="s">
        <v>15</v>
      </c>
      <c r="C17" s="17">
        <v>680185856</v>
      </c>
      <c r="D17" s="17">
        <f>198729092-95214361</f>
        <v>103514731</v>
      </c>
      <c r="E17" s="17">
        <f>118507308-15938940</f>
        <v>102568368</v>
      </c>
      <c r="F17" s="17">
        <f>78483135-33282727</f>
        <v>45200408</v>
      </c>
      <c r="G17" s="17">
        <f>37792950-14217426</f>
        <v>23575524</v>
      </c>
      <c r="H17" s="17">
        <f>65464569-28365876</f>
        <v>37098693</v>
      </c>
      <c r="I17" s="17">
        <f>18020385-2043534</f>
        <v>15976851</v>
      </c>
      <c r="J17" s="17">
        <f>14783100-9187655</f>
        <v>5595445</v>
      </c>
      <c r="K17" s="18">
        <f t="shared" ref="K17" si="3">SUM(C17:J17)</f>
        <v>1013715876</v>
      </c>
    </row>
    <row r="18" spans="1:11" s="10" customFormat="1" ht="31.5" x14ac:dyDescent="0.25">
      <c r="A18" s="20">
        <v>1010290</v>
      </c>
      <c r="B18" s="21" t="s">
        <v>16</v>
      </c>
      <c r="C18" s="17"/>
      <c r="D18" s="17"/>
      <c r="E18" s="17"/>
      <c r="F18" s="17"/>
      <c r="G18" s="17"/>
      <c r="H18" s="17"/>
      <c r="I18" s="17"/>
      <c r="J18" s="17"/>
      <c r="K18" s="18"/>
    </row>
    <row r="19" spans="1:11" s="10" customFormat="1" x14ac:dyDescent="0.25">
      <c r="A19" s="15">
        <v>1010400</v>
      </c>
      <c r="B19" s="19" t="s">
        <v>17</v>
      </c>
      <c r="C19" s="17">
        <v>3810600</v>
      </c>
      <c r="D19" s="17">
        <v>0</v>
      </c>
      <c r="E19" s="17">
        <v>2227200</v>
      </c>
      <c r="F19" s="17">
        <v>939600</v>
      </c>
      <c r="G19" s="17">
        <v>1131000</v>
      </c>
      <c r="H19" s="17">
        <v>452400</v>
      </c>
      <c r="I19" s="17">
        <v>382800</v>
      </c>
      <c r="J19" s="17">
        <v>452400</v>
      </c>
      <c r="K19" s="18">
        <f t="shared" ref="K19:K22" si="4">SUM(C19:J19)</f>
        <v>9396000</v>
      </c>
    </row>
    <row r="20" spans="1:11" s="10" customFormat="1" ht="31.5" x14ac:dyDescent="0.25">
      <c r="A20" s="15">
        <v>1010600</v>
      </c>
      <c r="B20" s="19" t="s">
        <v>64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8">
        <f t="shared" si="4"/>
        <v>0</v>
      </c>
    </row>
    <row r="21" spans="1:11" s="10" customFormat="1" ht="47.25" x14ac:dyDescent="0.25">
      <c r="A21" s="15">
        <v>1010601</v>
      </c>
      <c r="B21" s="19" t="s">
        <v>18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8">
        <f t="shared" si="4"/>
        <v>0</v>
      </c>
    </row>
    <row r="22" spans="1:11" s="10" customFormat="1" x14ac:dyDescent="0.25">
      <c r="A22" s="15">
        <v>1010700</v>
      </c>
      <c r="B22" s="19" t="s">
        <v>19</v>
      </c>
      <c r="C22" s="17">
        <f>0+101081715</f>
        <v>101081715</v>
      </c>
      <c r="D22" s="17">
        <f>14859900+9350309-5042391</f>
        <v>19167818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8">
        <f t="shared" si="4"/>
        <v>120249533</v>
      </c>
    </row>
    <row r="23" spans="1:11" s="10" customFormat="1" ht="78.75" x14ac:dyDescent="0.25">
      <c r="A23" s="15">
        <v>1010800</v>
      </c>
      <c r="B23" s="22" t="s">
        <v>60</v>
      </c>
      <c r="C23" s="17">
        <f>31157915-1614176</f>
        <v>29543739</v>
      </c>
      <c r="D23" s="17">
        <f>676322-35038</f>
        <v>641284</v>
      </c>
      <c r="E23" s="17">
        <f>6872420-356035</f>
        <v>6516385</v>
      </c>
      <c r="F23" s="17">
        <v>3923067</v>
      </c>
      <c r="G23" s="17">
        <v>2043882</v>
      </c>
      <c r="H23" s="17">
        <v>3445240</v>
      </c>
      <c r="I23" s="17">
        <f>2652615-137422</f>
        <v>2515193</v>
      </c>
      <c r="J23" s="17">
        <v>1182053</v>
      </c>
      <c r="K23" s="18">
        <f t="shared" ref="K23:K24" si="5">SUM(C23:J23)</f>
        <v>49810843</v>
      </c>
    </row>
    <row r="24" spans="1:11" s="26" customFormat="1" ht="31.5" x14ac:dyDescent="0.25">
      <c r="A24" s="23">
        <v>1010900</v>
      </c>
      <c r="B24" s="24" t="s">
        <v>61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25">
        <f t="shared" si="5"/>
        <v>0</v>
      </c>
    </row>
    <row r="25" spans="1:11" s="10" customFormat="1" x14ac:dyDescent="0.25">
      <c r="A25" s="20"/>
      <c r="B25" s="19"/>
      <c r="C25" s="17"/>
      <c r="D25" s="17"/>
      <c r="E25" s="17"/>
      <c r="F25" s="17"/>
      <c r="G25" s="17"/>
      <c r="H25" s="17"/>
      <c r="I25" s="17"/>
      <c r="J25" s="17"/>
      <c r="K25" s="18"/>
    </row>
    <row r="26" spans="1:11" s="27" customFormat="1" ht="31.5" x14ac:dyDescent="0.25">
      <c r="A26" s="15">
        <v>1020000</v>
      </c>
      <c r="B26" s="19" t="s">
        <v>20</v>
      </c>
      <c r="C26" s="17">
        <f t="shared" ref="C26:J26" si="6">SUM(C27:C30)</f>
        <v>1027908</v>
      </c>
      <c r="D26" s="17">
        <f t="shared" si="6"/>
        <v>132426</v>
      </c>
      <c r="E26" s="17">
        <f t="shared" si="6"/>
        <v>189279</v>
      </c>
      <c r="F26" s="17">
        <f t="shared" si="6"/>
        <v>242332</v>
      </c>
      <c r="G26" s="17">
        <f t="shared" si="6"/>
        <v>69600</v>
      </c>
      <c r="H26" s="17">
        <f t="shared" si="6"/>
        <v>224454</v>
      </c>
      <c r="I26" s="17">
        <f t="shared" si="6"/>
        <v>36192</v>
      </c>
      <c r="J26" s="17">
        <f t="shared" si="6"/>
        <v>26448</v>
      </c>
      <c r="K26" s="18">
        <f t="shared" ref="K26:K30" si="7">SUM(C26:J26)</f>
        <v>1948639</v>
      </c>
    </row>
    <row r="27" spans="1:11" s="10" customFormat="1" x14ac:dyDescent="0.25">
      <c r="A27" s="15">
        <v>1020100</v>
      </c>
      <c r="B27" s="19" t="s">
        <v>21</v>
      </c>
      <c r="C27" s="17"/>
      <c r="D27" s="17"/>
      <c r="E27" s="17"/>
      <c r="F27" s="17"/>
      <c r="G27" s="17"/>
      <c r="H27" s="17"/>
      <c r="I27" s="17"/>
      <c r="J27" s="17"/>
      <c r="K27" s="18">
        <f t="shared" si="7"/>
        <v>0</v>
      </c>
    </row>
    <row r="28" spans="1:11" s="10" customFormat="1" ht="31.5" x14ac:dyDescent="0.25">
      <c r="A28" s="15">
        <v>1020200</v>
      </c>
      <c r="B28" s="19" t="s">
        <v>22</v>
      </c>
      <c r="C28" s="17"/>
      <c r="D28" s="17"/>
      <c r="E28" s="17"/>
      <c r="F28" s="17"/>
      <c r="G28" s="17"/>
      <c r="H28" s="17"/>
      <c r="I28" s="17"/>
      <c r="J28" s="17"/>
      <c r="K28" s="18">
        <f t="shared" si="7"/>
        <v>0</v>
      </c>
    </row>
    <row r="29" spans="1:11" s="27" customFormat="1" ht="31.5" x14ac:dyDescent="0.25">
      <c r="A29" s="15">
        <v>1020400</v>
      </c>
      <c r="B29" s="16" t="s">
        <v>23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8">
        <f t="shared" si="7"/>
        <v>0</v>
      </c>
    </row>
    <row r="30" spans="1:11" s="10" customFormat="1" x14ac:dyDescent="0.25">
      <c r="A30" s="15">
        <v>1020500</v>
      </c>
      <c r="B30" s="19" t="s">
        <v>24</v>
      </c>
      <c r="C30" s="17">
        <f>828779+199129</f>
        <v>1027908</v>
      </c>
      <c r="D30" s="17">
        <v>132426</v>
      </c>
      <c r="E30" s="17">
        <v>189279</v>
      </c>
      <c r="F30" s="17">
        <v>242332</v>
      </c>
      <c r="G30" s="17">
        <v>69600</v>
      </c>
      <c r="H30" s="17">
        <v>224454</v>
      </c>
      <c r="I30" s="17">
        <v>36192</v>
      </c>
      <c r="J30" s="17">
        <v>26448</v>
      </c>
      <c r="K30" s="18">
        <f t="shared" si="7"/>
        <v>1948639</v>
      </c>
    </row>
    <row r="31" spans="1:11" s="10" customFormat="1" x14ac:dyDescent="0.25">
      <c r="A31" s="15"/>
      <c r="B31" s="19"/>
      <c r="C31" s="17"/>
      <c r="D31" s="17"/>
      <c r="E31" s="17"/>
      <c r="F31" s="17"/>
      <c r="G31" s="17"/>
      <c r="H31" s="17"/>
      <c r="I31" s="17"/>
      <c r="J31" s="17"/>
      <c r="K31" s="18"/>
    </row>
    <row r="32" spans="1:11" s="10" customFormat="1" x14ac:dyDescent="0.25">
      <c r="A32" s="15">
        <v>1050000</v>
      </c>
      <c r="B32" s="19" t="s">
        <v>25</v>
      </c>
      <c r="C32" s="17">
        <v>4630461</v>
      </c>
      <c r="D32" s="17">
        <v>2821807</v>
      </c>
      <c r="E32" s="17">
        <v>1787946</v>
      </c>
      <c r="F32" s="17">
        <v>15185058</v>
      </c>
      <c r="G32" s="17">
        <v>440350</v>
      </c>
      <c r="H32" s="17">
        <v>3848598</v>
      </c>
      <c r="I32" s="17">
        <v>9607639</v>
      </c>
      <c r="J32" s="17">
        <v>607604</v>
      </c>
      <c r="K32" s="18">
        <f t="shared" ref="K32:K39" si="8">SUM(C32:J32)</f>
        <v>38929463</v>
      </c>
    </row>
    <row r="33" spans="1:11" s="10" customFormat="1" x14ac:dyDescent="0.25">
      <c r="A33" s="15">
        <v>1050100</v>
      </c>
      <c r="B33" s="19" t="s">
        <v>26</v>
      </c>
      <c r="C33" s="17">
        <f>SUM(C34:C35)</f>
        <v>0</v>
      </c>
      <c r="D33" s="17">
        <f t="shared" ref="D33:J33" si="9">SUM(D34:D35)</f>
        <v>0</v>
      </c>
      <c r="E33" s="17">
        <f t="shared" si="9"/>
        <v>0</v>
      </c>
      <c r="F33" s="17">
        <f t="shared" si="9"/>
        <v>0</v>
      </c>
      <c r="G33" s="17">
        <f t="shared" si="9"/>
        <v>0</v>
      </c>
      <c r="H33" s="17">
        <f t="shared" si="9"/>
        <v>0</v>
      </c>
      <c r="I33" s="17">
        <f t="shared" si="9"/>
        <v>0</v>
      </c>
      <c r="J33" s="17">
        <f t="shared" si="9"/>
        <v>0</v>
      </c>
      <c r="K33" s="18">
        <f t="shared" si="8"/>
        <v>0</v>
      </c>
    </row>
    <row r="34" spans="1:11" s="10" customFormat="1" ht="31.5" x14ac:dyDescent="0.25">
      <c r="A34" s="20">
        <v>1050101</v>
      </c>
      <c r="B34" s="21" t="s">
        <v>27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8">
        <f t="shared" si="8"/>
        <v>0</v>
      </c>
    </row>
    <row r="35" spans="1:11" s="10" customFormat="1" ht="31.5" x14ac:dyDescent="0.25">
      <c r="A35" s="20">
        <v>1050102</v>
      </c>
      <c r="B35" s="21" t="s">
        <v>28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8">
        <f t="shared" si="8"/>
        <v>0</v>
      </c>
    </row>
    <row r="36" spans="1:11" s="10" customFormat="1" ht="47.25" x14ac:dyDescent="0.25">
      <c r="A36" s="15">
        <v>1050200</v>
      </c>
      <c r="B36" s="19" t="s">
        <v>29</v>
      </c>
      <c r="C36" s="17">
        <v>4383512</v>
      </c>
      <c r="D36" s="17">
        <v>2821807</v>
      </c>
      <c r="E36" s="17">
        <v>1787946</v>
      </c>
      <c r="F36" s="17">
        <v>414558</v>
      </c>
      <c r="G36" s="17">
        <v>196332</v>
      </c>
      <c r="H36" s="17">
        <v>758588</v>
      </c>
      <c r="I36" s="17">
        <v>712354</v>
      </c>
      <c r="J36" s="17">
        <v>504053</v>
      </c>
      <c r="K36" s="18">
        <f t="shared" si="8"/>
        <v>11579150</v>
      </c>
    </row>
    <row r="37" spans="1:11" s="10" customFormat="1" ht="63" x14ac:dyDescent="0.25">
      <c r="A37" s="15">
        <v>1050400</v>
      </c>
      <c r="B37" s="19" t="s">
        <v>30</v>
      </c>
      <c r="C37" s="17">
        <v>0</v>
      </c>
      <c r="D37" s="17">
        <v>0</v>
      </c>
      <c r="E37" s="17">
        <v>0</v>
      </c>
      <c r="F37" s="17">
        <v>7635256</v>
      </c>
      <c r="G37" s="17">
        <v>161856</v>
      </c>
      <c r="H37" s="17">
        <v>1937254</v>
      </c>
      <c r="I37" s="17">
        <v>5189579</v>
      </c>
      <c r="J37" s="17">
        <v>26625</v>
      </c>
      <c r="K37" s="18">
        <f t="shared" si="8"/>
        <v>14950570</v>
      </c>
    </row>
    <row r="38" spans="1:11" s="10" customFormat="1" ht="31.5" x14ac:dyDescent="0.25">
      <c r="A38" s="15">
        <v>1051100</v>
      </c>
      <c r="B38" s="19" t="s">
        <v>31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8">
        <f t="shared" si="8"/>
        <v>0</v>
      </c>
    </row>
    <row r="39" spans="1:11" s="27" customFormat="1" ht="31.5" x14ac:dyDescent="0.25">
      <c r="A39" s="15">
        <v>1051200</v>
      </c>
      <c r="B39" s="19" t="s">
        <v>32</v>
      </c>
      <c r="C39" s="17">
        <v>0</v>
      </c>
      <c r="D39" s="17">
        <v>0</v>
      </c>
      <c r="E39" s="17">
        <v>0</v>
      </c>
      <c r="F39" s="17">
        <v>7132364</v>
      </c>
      <c r="G39" s="17">
        <v>80928</v>
      </c>
      <c r="H39" s="17">
        <v>1146750</v>
      </c>
      <c r="I39" s="17">
        <v>3698713</v>
      </c>
      <c r="J39" s="17">
        <v>0</v>
      </c>
      <c r="K39" s="18">
        <f t="shared" si="8"/>
        <v>12058755</v>
      </c>
    </row>
    <row r="40" spans="1:11" s="27" customFormat="1" x14ac:dyDescent="0.25">
      <c r="A40" s="20"/>
      <c r="B40" s="21"/>
      <c r="C40" s="28"/>
      <c r="D40" s="28"/>
      <c r="E40" s="28"/>
      <c r="F40" s="28"/>
      <c r="G40" s="28"/>
      <c r="H40" s="28"/>
      <c r="I40" s="28"/>
      <c r="J40" s="28"/>
      <c r="K40" s="29"/>
    </row>
    <row r="41" spans="1:11" s="10" customFormat="1" ht="31.5" x14ac:dyDescent="0.25">
      <c r="A41" s="15">
        <v>1060000</v>
      </c>
      <c r="B41" s="19" t="s">
        <v>33</v>
      </c>
      <c r="C41" s="17">
        <f>SUM(C42)</f>
        <v>435554684</v>
      </c>
      <c r="D41" s="17">
        <f t="shared" ref="D41:J41" si="10">SUM(D42)</f>
        <v>0</v>
      </c>
      <c r="E41" s="17">
        <f t="shared" si="10"/>
        <v>0</v>
      </c>
      <c r="F41" s="17">
        <f t="shared" si="10"/>
        <v>0</v>
      </c>
      <c r="G41" s="17">
        <f t="shared" si="10"/>
        <v>0</v>
      </c>
      <c r="H41" s="17">
        <f t="shared" si="10"/>
        <v>0</v>
      </c>
      <c r="I41" s="17">
        <f t="shared" si="10"/>
        <v>0</v>
      </c>
      <c r="J41" s="17">
        <f t="shared" si="10"/>
        <v>0</v>
      </c>
      <c r="K41" s="18">
        <f t="shared" ref="K41:K42" si="11">SUM(C41:J41)</f>
        <v>435554684</v>
      </c>
    </row>
    <row r="42" spans="1:11" s="10" customFormat="1" x14ac:dyDescent="0.25">
      <c r="A42" s="20">
        <v>1060400</v>
      </c>
      <c r="B42" s="21" t="s">
        <v>59</v>
      </c>
      <c r="C42" s="28">
        <f>287127262+138753895+9673527</f>
        <v>435554684</v>
      </c>
      <c r="D42" s="28"/>
      <c r="E42" s="28"/>
      <c r="F42" s="28"/>
      <c r="G42" s="28"/>
      <c r="H42" s="28"/>
      <c r="I42" s="28"/>
      <c r="J42" s="28"/>
      <c r="K42" s="29">
        <f t="shared" si="11"/>
        <v>435554684</v>
      </c>
    </row>
    <row r="43" spans="1:11" s="10" customFormat="1" x14ac:dyDescent="0.25">
      <c r="A43" s="15"/>
      <c r="B43" s="19"/>
      <c r="C43" s="28"/>
      <c r="D43" s="28"/>
      <c r="E43" s="28"/>
      <c r="F43" s="28"/>
      <c r="G43" s="28"/>
      <c r="H43" s="28"/>
      <c r="I43" s="28"/>
      <c r="J43" s="28"/>
      <c r="K43" s="18"/>
    </row>
    <row r="44" spans="1:11" s="10" customFormat="1" x14ac:dyDescent="0.25">
      <c r="A44" s="15">
        <v>1400000</v>
      </c>
      <c r="B44" s="19" t="s">
        <v>34</v>
      </c>
      <c r="C44" s="17">
        <f>C45</f>
        <v>13776700</v>
      </c>
      <c r="D44" s="17">
        <f t="shared" ref="D44:J44" si="12">D45</f>
        <v>185080</v>
      </c>
      <c r="E44" s="17">
        <f t="shared" si="12"/>
        <v>7906099</v>
      </c>
      <c r="F44" s="17">
        <f t="shared" si="12"/>
        <v>5379183</v>
      </c>
      <c r="G44" s="17">
        <f t="shared" si="12"/>
        <v>3553669</v>
      </c>
      <c r="H44" s="17">
        <f t="shared" si="12"/>
        <v>3110243</v>
      </c>
      <c r="I44" s="17">
        <f t="shared" si="12"/>
        <v>1319613</v>
      </c>
      <c r="J44" s="17">
        <f t="shared" si="12"/>
        <v>687593</v>
      </c>
      <c r="K44" s="18">
        <f t="shared" ref="K44:K45" si="13">SUM(C44:J44)</f>
        <v>35918180</v>
      </c>
    </row>
    <row r="45" spans="1:11" s="10" customFormat="1" x14ac:dyDescent="0.25">
      <c r="A45" s="15">
        <v>1400100</v>
      </c>
      <c r="B45" s="19" t="s">
        <v>35</v>
      </c>
      <c r="C45" s="28">
        <v>13776700</v>
      </c>
      <c r="D45" s="28">
        <v>185080</v>
      </c>
      <c r="E45" s="28">
        <v>7906099</v>
      </c>
      <c r="F45" s="28">
        <v>5379183</v>
      </c>
      <c r="G45" s="28">
        <v>3553669</v>
      </c>
      <c r="H45" s="28">
        <v>3110243</v>
      </c>
      <c r="I45" s="28">
        <v>1319613</v>
      </c>
      <c r="J45" s="28">
        <v>687593</v>
      </c>
      <c r="K45" s="29">
        <f t="shared" si="13"/>
        <v>35918180</v>
      </c>
    </row>
    <row r="46" spans="1:11" s="10" customFormat="1" ht="16.5" thickBot="1" x14ac:dyDescent="0.3">
      <c r="A46" s="30"/>
      <c r="B46" s="31"/>
      <c r="C46" s="32"/>
      <c r="D46" s="32"/>
      <c r="E46" s="32"/>
      <c r="F46" s="32"/>
      <c r="G46" s="32"/>
      <c r="H46" s="32"/>
      <c r="I46" s="32"/>
      <c r="J46" s="32"/>
      <c r="K46" s="33"/>
    </row>
    <row r="47" spans="1:11" s="10" customFormat="1" x14ac:dyDescent="0.25">
      <c r="A47" s="34">
        <v>2000000</v>
      </c>
      <c r="B47" s="35" t="s">
        <v>36</v>
      </c>
      <c r="C47" s="36">
        <f>SUM(C48+C56+C60+C62)</f>
        <v>226441738</v>
      </c>
      <c r="D47" s="36">
        <f t="shared" ref="D47:J47" si="14">SUM(D48+D56+D60+D62)</f>
        <v>286929</v>
      </c>
      <c r="E47" s="36">
        <f t="shared" si="14"/>
        <v>6246031</v>
      </c>
      <c r="F47" s="36">
        <f t="shared" si="14"/>
        <v>12446547</v>
      </c>
      <c r="G47" s="36">
        <f t="shared" si="14"/>
        <v>2310712</v>
      </c>
      <c r="H47" s="36">
        <f t="shared" si="14"/>
        <v>4617794</v>
      </c>
      <c r="I47" s="36">
        <f t="shared" si="14"/>
        <v>996626</v>
      </c>
      <c r="J47" s="36">
        <f t="shared" si="14"/>
        <v>595633</v>
      </c>
      <c r="K47" s="37">
        <f>SUM(C47:J47)</f>
        <v>253942010</v>
      </c>
    </row>
    <row r="48" spans="1:11" s="10" customFormat="1" ht="47.25" x14ac:dyDescent="0.25">
      <c r="A48" s="15">
        <v>2010000</v>
      </c>
      <c r="B48" s="19" t="s">
        <v>37</v>
      </c>
      <c r="C48" s="17">
        <f>20594487-4608449+4608449+59613414+6014362+974767+100000000</f>
        <v>187197030</v>
      </c>
      <c r="D48" s="17">
        <v>124917</v>
      </c>
      <c r="E48" s="17">
        <v>1137602</v>
      </c>
      <c r="F48" s="17">
        <v>9594750</v>
      </c>
      <c r="G48" s="17">
        <v>57817</v>
      </c>
      <c r="H48" s="17">
        <v>269611</v>
      </c>
      <c r="I48" s="17">
        <v>77008</v>
      </c>
      <c r="J48" s="17">
        <v>16463</v>
      </c>
      <c r="K48" s="18">
        <f t="shared" ref="K48:K54" si="15">SUM(C48:J48)</f>
        <v>198475198</v>
      </c>
    </row>
    <row r="49" spans="1:11" s="10" customFormat="1" ht="31.5" x14ac:dyDescent="0.25">
      <c r="A49" s="15">
        <v>2010200</v>
      </c>
      <c r="B49" s="19" t="s">
        <v>38</v>
      </c>
      <c r="C49" s="28">
        <v>1433657</v>
      </c>
      <c r="D49" s="28">
        <v>12257</v>
      </c>
      <c r="E49" s="28">
        <v>462808</v>
      </c>
      <c r="F49" s="28">
        <v>168911</v>
      </c>
      <c r="G49" s="28">
        <v>49650</v>
      </c>
      <c r="H49" s="28">
        <v>151096</v>
      </c>
      <c r="I49" s="28">
        <v>73439</v>
      </c>
      <c r="J49" s="28">
        <v>14543</v>
      </c>
      <c r="K49" s="18">
        <f t="shared" si="15"/>
        <v>2366361</v>
      </c>
    </row>
    <row r="50" spans="1:11" s="10" customFormat="1" ht="31.5" x14ac:dyDescent="0.25">
      <c r="A50" s="15">
        <v>2010300</v>
      </c>
      <c r="B50" s="19" t="s">
        <v>39</v>
      </c>
      <c r="C50" s="17">
        <v>4951557</v>
      </c>
      <c r="D50" s="17"/>
      <c r="E50" s="17">
        <v>369329</v>
      </c>
      <c r="F50" s="17">
        <v>9424131</v>
      </c>
      <c r="G50" s="17">
        <v>0</v>
      </c>
      <c r="H50" s="17">
        <v>0</v>
      </c>
      <c r="I50" s="17">
        <v>0</v>
      </c>
      <c r="J50" s="17">
        <v>0</v>
      </c>
      <c r="K50" s="18">
        <f t="shared" si="15"/>
        <v>14745017</v>
      </c>
    </row>
    <row r="51" spans="1:11" s="10" customFormat="1" ht="31.5" x14ac:dyDescent="0.25">
      <c r="A51" s="15">
        <v>2010400</v>
      </c>
      <c r="B51" s="19" t="s">
        <v>40</v>
      </c>
      <c r="C51" s="17">
        <f>85000+59613414</f>
        <v>59698414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8">
        <f t="shared" si="15"/>
        <v>59698414</v>
      </c>
    </row>
    <row r="52" spans="1:11" s="10" customFormat="1" ht="31.5" x14ac:dyDescent="0.25">
      <c r="A52" s="15">
        <v>2010500</v>
      </c>
      <c r="B52" s="19" t="s">
        <v>41</v>
      </c>
      <c r="C52" s="17">
        <v>16343</v>
      </c>
      <c r="D52" s="17">
        <v>0</v>
      </c>
      <c r="E52" s="17">
        <v>12423</v>
      </c>
      <c r="F52" s="17">
        <v>1708</v>
      </c>
      <c r="G52" s="17">
        <v>5098</v>
      </c>
      <c r="H52" s="17">
        <v>953</v>
      </c>
      <c r="I52" s="17">
        <v>3569</v>
      </c>
      <c r="J52" s="17">
        <v>0</v>
      </c>
      <c r="K52" s="18">
        <f t="shared" si="15"/>
        <v>40094</v>
      </c>
    </row>
    <row r="53" spans="1:11" s="10" customFormat="1" ht="31.5" x14ac:dyDescent="0.25">
      <c r="A53" s="15">
        <v>2010900</v>
      </c>
      <c r="B53" s="19" t="s">
        <v>42</v>
      </c>
      <c r="C53" s="17">
        <v>1858434</v>
      </c>
      <c r="D53" s="17">
        <v>112660</v>
      </c>
      <c r="E53" s="17">
        <v>266942</v>
      </c>
      <c r="F53" s="17">
        <v>0</v>
      </c>
      <c r="G53" s="17">
        <v>3069</v>
      </c>
      <c r="H53" s="17">
        <v>107518</v>
      </c>
      <c r="I53" s="17">
        <v>0</v>
      </c>
      <c r="J53" s="17">
        <v>0</v>
      </c>
      <c r="K53" s="18">
        <f t="shared" si="15"/>
        <v>2348623</v>
      </c>
    </row>
    <row r="54" spans="1:11" s="10" customFormat="1" ht="31.5" x14ac:dyDescent="0.25">
      <c r="A54" s="15">
        <v>2011000</v>
      </c>
      <c r="B54" s="19" t="s">
        <v>43</v>
      </c>
      <c r="C54" s="17">
        <f>10043667-4608449+4608449+6014362+100000000</f>
        <v>116058029</v>
      </c>
      <c r="D54" s="17">
        <v>0</v>
      </c>
      <c r="E54" s="17">
        <v>0</v>
      </c>
      <c r="F54" s="17">
        <v>0</v>
      </c>
      <c r="G54" s="17">
        <v>0</v>
      </c>
      <c r="H54" s="38">
        <v>0</v>
      </c>
      <c r="I54" s="17">
        <v>0</v>
      </c>
      <c r="J54" s="17">
        <v>0</v>
      </c>
      <c r="K54" s="18">
        <f t="shared" si="15"/>
        <v>116058029</v>
      </c>
    </row>
    <row r="55" spans="1:11" s="10" customFormat="1" x14ac:dyDescent="0.25">
      <c r="A55" s="15"/>
      <c r="B55" s="19"/>
      <c r="C55" s="17"/>
      <c r="D55" s="17"/>
      <c r="E55" s="17"/>
      <c r="F55" s="17"/>
      <c r="G55" s="17"/>
      <c r="H55" s="17"/>
      <c r="I55" s="17"/>
      <c r="J55" s="17"/>
      <c r="K55" s="18"/>
    </row>
    <row r="56" spans="1:11" s="10" customFormat="1" ht="47.25" x14ac:dyDescent="0.25">
      <c r="A56" s="15">
        <v>2020000</v>
      </c>
      <c r="B56" s="19" t="s">
        <v>44</v>
      </c>
      <c r="C56" s="17">
        <f>17835192+89925</f>
        <v>17925117</v>
      </c>
      <c r="D56" s="17">
        <v>0</v>
      </c>
      <c r="E56" s="17">
        <v>20000</v>
      </c>
      <c r="F56" s="17">
        <v>50000</v>
      </c>
      <c r="G56" s="17">
        <v>1000</v>
      </c>
      <c r="H56" s="17">
        <v>10000</v>
      </c>
      <c r="I56" s="17">
        <v>1000</v>
      </c>
      <c r="J56" s="17">
        <v>0</v>
      </c>
      <c r="K56" s="18">
        <f t="shared" ref="K56:K58" si="16">SUM(C56:J56)</f>
        <v>18007117</v>
      </c>
    </row>
    <row r="57" spans="1:11" s="10" customFormat="1" ht="31.5" x14ac:dyDescent="0.25">
      <c r="A57" s="20">
        <v>2020100</v>
      </c>
      <c r="B57" s="21" t="s">
        <v>45</v>
      </c>
      <c r="C57" s="28">
        <v>17500000</v>
      </c>
      <c r="D57" s="28">
        <v>0</v>
      </c>
      <c r="E57" s="28">
        <v>0</v>
      </c>
      <c r="F57" s="28">
        <v>0</v>
      </c>
      <c r="G57" s="28"/>
      <c r="H57" s="28"/>
      <c r="I57" s="28">
        <v>0</v>
      </c>
      <c r="J57" s="28">
        <v>0</v>
      </c>
      <c r="K57" s="29">
        <f t="shared" si="16"/>
        <v>17500000</v>
      </c>
    </row>
    <row r="58" spans="1:11" s="10" customFormat="1" ht="31.5" x14ac:dyDescent="0.25">
      <c r="A58" s="57">
        <v>2020800</v>
      </c>
      <c r="B58" s="58" t="s">
        <v>68</v>
      </c>
      <c r="C58" s="59">
        <f>135192+89925</f>
        <v>225117</v>
      </c>
      <c r="D58" s="59">
        <v>0</v>
      </c>
      <c r="E58" s="59">
        <v>0</v>
      </c>
      <c r="F58" s="59">
        <v>0</v>
      </c>
      <c r="G58" s="59"/>
      <c r="H58" s="59"/>
      <c r="I58" s="59">
        <v>0</v>
      </c>
      <c r="J58" s="59">
        <v>0</v>
      </c>
      <c r="K58" s="60">
        <f t="shared" si="16"/>
        <v>225117</v>
      </c>
    </row>
    <row r="59" spans="1:11" s="10" customFormat="1" x14ac:dyDescent="0.25">
      <c r="A59" s="20"/>
      <c r="B59" s="21"/>
      <c r="C59" s="28"/>
      <c r="D59" s="28"/>
      <c r="E59" s="28"/>
      <c r="F59" s="28"/>
      <c r="G59" s="28"/>
      <c r="H59" s="28"/>
      <c r="I59" s="28"/>
      <c r="J59" s="28"/>
      <c r="K59" s="18"/>
    </row>
    <row r="60" spans="1:11" s="10" customFormat="1" x14ac:dyDescent="0.25">
      <c r="A60" s="39">
        <v>2060000</v>
      </c>
      <c r="B60" s="19" t="s">
        <v>46</v>
      </c>
      <c r="C60" s="17">
        <v>5533350</v>
      </c>
      <c r="D60" s="17">
        <v>98938</v>
      </c>
      <c r="E60" s="17">
        <v>1008715</v>
      </c>
      <c r="F60" s="17">
        <v>714529</v>
      </c>
      <c r="G60" s="17">
        <v>517200</v>
      </c>
      <c r="H60" s="17">
        <v>632302</v>
      </c>
      <c r="I60" s="17">
        <v>331595</v>
      </c>
      <c r="J60" s="17">
        <v>128813</v>
      </c>
      <c r="K60" s="18">
        <f t="shared" ref="K60" si="17">SUM(C60:J60)</f>
        <v>8965442</v>
      </c>
    </row>
    <row r="61" spans="1:11" s="10" customFormat="1" x14ac:dyDescent="0.25">
      <c r="A61" s="40"/>
      <c r="B61" s="21"/>
      <c r="C61" s="28"/>
      <c r="D61" s="28"/>
      <c r="E61" s="28"/>
      <c r="F61" s="28"/>
      <c r="G61" s="28"/>
      <c r="H61" s="28"/>
      <c r="I61" s="28"/>
      <c r="J61" s="28"/>
      <c r="K61" s="18"/>
    </row>
    <row r="62" spans="1:11" s="10" customFormat="1" x14ac:dyDescent="0.25">
      <c r="A62" s="39">
        <v>2070000</v>
      </c>
      <c r="B62" s="19" t="s">
        <v>47</v>
      </c>
      <c r="C62" s="17">
        <f>15672411+113830</f>
        <v>15786241</v>
      </c>
      <c r="D62" s="17">
        <v>63074</v>
      </c>
      <c r="E62" s="17">
        <v>4079714</v>
      </c>
      <c r="F62" s="17">
        <v>2087268</v>
      </c>
      <c r="G62" s="17">
        <v>1734695</v>
      </c>
      <c r="H62" s="17">
        <v>3705881</v>
      </c>
      <c r="I62" s="17">
        <v>587023</v>
      </c>
      <c r="J62" s="17">
        <v>450357</v>
      </c>
      <c r="K62" s="18">
        <f t="shared" ref="K62:K63" si="18">SUM(C62:J62)</f>
        <v>28494253</v>
      </c>
    </row>
    <row r="63" spans="1:11" s="10" customFormat="1" ht="31.5" x14ac:dyDescent="0.25">
      <c r="A63" s="57">
        <v>2071800</v>
      </c>
      <c r="B63" s="58" t="s">
        <v>69</v>
      </c>
      <c r="C63" s="59">
        <f>3339077+113830</f>
        <v>3452907</v>
      </c>
      <c r="D63" s="59">
        <f>30008</f>
        <v>30008</v>
      </c>
      <c r="E63" s="59">
        <f>446814</f>
        <v>446814</v>
      </c>
      <c r="F63" s="59">
        <f>429407</f>
        <v>429407</v>
      </c>
      <c r="G63" s="59">
        <v>305008</v>
      </c>
      <c r="H63" s="59">
        <f>170317</f>
        <v>170317</v>
      </c>
      <c r="I63" s="59">
        <f>89861</f>
        <v>89861</v>
      </c>
      <c r="J63" s="59">
        <f>198500</f>
        <v>198500</v>
      </c>
      <c r="K63" s="60">
        <f t="shared" si="18"/>
        <v>5122822</v>
      </c>
    </row>
    <row r="64" spans="1:11" s="10" customFormat="1" ht="16.5" thickBot="1" x14ac:dyDescent="0.3">
      <c r="A64" s="61"/>
      <c r="B64" s="62"/>
      <c r="C64" s="63"/>
      <c r="D64" s="63"/>
      <c r="E64" s="63"/>
      <c r="F64" s="63"/>
      <c r="G64" s="63"/>
      <c r="H64" s="63"/>
      <c r="I64" s="63"/>
      <c r="J64" s="63"/>
      <c r="K64" s="64"/>
    </row>
    <row r="65" spans="1:11" s="10" customFormat="1" x14ac:dyDescent="0.25">
      <c r="A65" s="67">
        <v>3000000</v>
      </c>
      <c r="B65" s="76" t="s">
        <v>70</v>
      </c>
      <c r="C65" s="77">
        <f>C66+C67</f>
        <v>865859868</v>
      </c>
      <c r="D65" s="77">
        <f t="shared" ref="D65:J65" si="19">D66+D67</f>
        <v>0</v>
      </c>
      <c r="E65" s="77">
        <f t="shared" si="19"/>
        <v>0</v>
      </c>
      <c r="F65" s="77">
        <f t="shared" si="19"/>
        <v>0</v>
      </c>
      <c r="G65" s="77">
        <f t="shared" si="19"/>
        <v>0</v>
      </c>
      <c r="H65" s="77">
        <f t="shared" si="19"/>
        <v>0</v>
      </c>
      <c r="I65" s="77">
        <f t="shared" si="19"/>
        <v>0</v>
      </c>
      <c r="J65" s="77">
        <f t="shared" si="19"/>
        <v>0</v>
      </c>
      <c r="K65" s="78">
        <f t="shared" ref="K65:K67" si="20">SUM(C65:J65)</f>
        <v>865859868</v>
      </c>
    </row>
    <row r="66" spans="1:11" s="10" customFormat="1" x14ac:dyDescent="0.25">
      <c r="A66" s="72">
        <v>3010000</v>
      </c>
      <c r="B66" s="65" t="s">
        <v>71</v>
      </c>
      <c r="C66" s="63">
        <f>761818857+33434771+4794000</f>
        <v>800047628</v>
      </c>
      <c r="D66" s="63"/>
      <c r="E66" s="63"/>
      <c r="F66" s="63"/>
      <c r="G66" s="63"/>
      <c r="H66" s="63"/>
      <c r="I66" s="63"/>
      <c r="J66" s="63"/>
      <c r="K66" s="64">
        <f t="shared" si="20"/>
        <v>800047628</v>
      </c>
    </row>
    <row r="67" spans="1:11" s="10" customFormat="1" ht="16.5" thickBot="1" x14ac:dyDescent="0.3">
      <c r="A67" s="73">
        <v>3060000</v>
      </c>
      <c r="B67" s="74" t="s">
        <v>72</v>
      </c>
      <c r="C67" s="75">
        <f>35871240+29941000</f>
        <v>65812240</v>
      </c>
      <c r="D67" s="75"/>
      <c r="E67" s="75"/>
      <c r="F67" s="75"/>
      <c r="G67" s="75"/>
      <c r="H67" s="75"/>
      <c r="I67" s="75"/>
      <c r="J67" s="75"/>
      <c r="K67" s="75">
        <f t="shared" si="20"/>
        <v>65812240</v>
      </c>
    </row>
    <row r="68" spans="1:11" s="10" customFormat="1" ht="16.5" thickBot="1" x14ac:dyDescent="0.3">
      <c r="A68" s="68"/>
      <c r="B68" s="69"/>
      <c r="C68" s="70"/>
      <c r="D68" s="70"/>
      <c r="E68" s="70"/>
      <c r="F68" s="70"/>
      <c r="G68" s="70"/>
      <c r="H68" s="70"/>
      <c r="I68" s="70"/>
      <c r="J68" s="70"/>
      <c r="K68" s="71"/>
    </row>
    <row r="69" spans="1:11" s="10" customFormat="1" x14ac:dyDescent="0.25">
      <c r="A69" s="45">
        <v>4000000</v>
      </c>
      <c r="B69" s="46" t="s">
        <v>48</v>
      </c>
      <c r="C69" s="36">
        <f t="shared" ref="C69:K69" si="21">SUM(C70+C73+C75+C77+C79+C81+C83+C85)</f>
        <v>424448917</v>
      </c>
      <c r="D69" s="36">
        <f t="shared" si="21"/>
        <v>10496872</v>
      </c>
      <c r="E69" s="36">
        <f t="shared" si="21"/>
        <v>12838323</v>
      </c>
      <c r="F69" s="36">
        <f t="shared" si="21"/>
        <v>22506741</v>
      </c>
      <c r="G69" s="36">
        <f t="shared" si="21"/>
        <v>10036003</v>
      </c>
      <c r="H69" s="36">
        <f t="shared" si="21"/>
        <v>21885458</v>
      </c>
      <c r="I69" s="36">
        <f t="shared" si="21"/>
        <v>18120706</v>
      </c>
      <c r="J69" s="36">
        <f t="shared" si="21"/>
        <v>6516453</v>
      </c>
      <c r="K69" s="37">
        <f t="shared" si="21"/>
        <v>526849473</v>
      </c>
    </row>
    <row r="70" spans="1:11" s="26" customFormat="1" x14ac:dyDescent="0.25">
      <c r="A70" s="47">
        <v>4010000</v>
      </c>
      <c r="B70" s="48" t="s">
        <v>49</v>
      </c>
      <c r="C70" s="49">
        <f>230413275</f>
        <v>230413275</v>
      </c>
      <c r="D70" s="49">
        <f>17618353-8279482</f>
        <v>9338871</v>
      </c>
      <c r="E70" s="49">
        <f>12483294-1385994</f>
        <v>11097300</v>
      </c>
      <c r="F70" s="49">
        <f>9276993-2894151</f>
        <v>6382842</v>
      </c>
      <c r="G70" s="49">
        <f>4357753-1236298</f>
        <v>3121455</v>
      </c>
      <c r="H70" s="49">
        <f>7167896-2466599</f>
        <v>4701297</v>
      </c>
      <c r="I70" s="49">
        <f>2394847-177698</f>
        <v>2217149</v>
      </c>
      <c r="J70" s="49">
        <f>1668851-798927</f>
        <v>869924</v>
      </c>
      <c r="K70" s="18">
        <f>SUM(C70:J70)</f>
        <v>268142113</v>
      </c>
    </row>
    <row r="71" spans="1:11" s="10" customFormat="1" x14ac:dyDescent="0.25">
      <c r="A71" s="40">
        <v>4010104</v>
      </c>
      <c r="B71" s="21" t="s">
        <v>50</v>
      </c>
      <c r="C71" s="28">
        <v>59146597</v>
      </c>
      <c r="D71" s="28">
        <f>17280791-8279482</f>
        <v>9001309</v>
      </c>
      <c r="E71" s="28">
        <f>10304983-1385994</f>
        <v>8918989</v>
      </c>
      <c r="F71" s="28">
        <f>6824621-2894151</f>
        <v>3930470</v>
      </c>
      <c r="G71" s="28">
        <f>3286344-1236298</f>
        <v>2050046</v>
      </c>
      <c r="H71" s="28">
        <f>5692572-2466599</f>
        <v>3225973</v>
      </c>
      <c r="I71" s="28">
        <f>1566990-177698</f>
        <v>1389292</v>
      </c>
      <c r="J71" s="28">
        <f>1285487-798927</f>
        <v>486560</v>
      </c>
      <c r="K71" s="29">
        <f>SUM(C71:J71)</f>
        <v>88149236</v>
      </c>
    </row>
    <row r="72" spans="1:11" s="10" customFormat="1" x14ac:dyDescent="0.25">
      <c r="A72" s="40"/>
      <c r="B72" s="21"/>
      <c r="C72" s="28"/>
      <c r="D72" s="28"/>
      <c r="E72" s="28"/>
      <c r="F72" s="28"/>
      <c r="G72" s="28"/>
      <c r="H72" s="28"/>
      <c r="I72" s="28"/>
      <c r="J72" s="28"/>
      <c r="K72" s="18"/>
    </row>
    <row r="73" spans="1:11" s="10" customFormat="1" ht="31.5" x14ac:dyDescent="0.25">
      <c r="A73" s="39">
        <v>4020100</v>
      </c>
      <c r="B73" s="19" t="s">
        <v>51</v>
      </c>
      <c r="C73" s="17">
        <v>2826536</v>
      </c>
      <c r="D73" s="17">
        <v>1158001</v>
      </c>
      <c r="E73" s="17">
        <v>792844</v>
      </c>
      <c r="F73" s="17">
        <v>1147329</v>
      </c>
      <c r="G73" s="17">
        <v>282434</v>
      </c>
      <c r="H73" s="17">
        <v>844811</v>
      </c>
      <c r="I73" s="17">
        <v>290746</v>
      </c>
      <c r="J73" s="17">
        <v>149591</v>
      </c>
      <c r="K73" s="18">
        <f>SUM(C73:J73)</f>
        <v>7492292</v>
      </c>
    </row>
    <row r="74" spans="1:11" s="10" customFormat="1" x14ac:dyDescent="0.25">
      <c r="A74" s="40"/>
      <c r="B74" s="21"/>
      <c r="C74" s="28"/>
      <c r="D74" s="28"/>
      <c r="E74" s="28"/>
      <c r="F74" s="28"/>
      <c r="G74" s="28"/>
      <c r="H74" s="28"/>
      <c r="I74" s="28"/>
      <c r="J74" s="28"/>
      <c r="K74" s="18"/>
    </row>
    <row r="75" spans="1:11" ht="78.75" x14ac:dyDescent="0.25">
      <c r="A75" s="15">
        <v>4080000</v>
      </c>
      <c r="B75" s="19" t="s">
        <v>52</v>
      </c>
      <c r="C75" s="17">
        <v>508900</v>
      </c>
      <c r="D75" s="17">
        <v>0</v>
      </c>
      <c r="E75" s="17">
        <v>762530</v>
      </c>
      <c r="F75" s="17">
        <v>12079989</v>
      </c>
      <c r="G75" s="17">
        <v>5390077</v>
      </c>
      <c r="H75" s="17">
        <v>13061458</v>
      </c>
      <c r="I75" s="17">
        <v>12638495</v>
      </c>
      <c r="J75" s="17">
        <v>4269418</v>
      </c>
      <c r="K75" s="18">
        <f t="shared" ref="K75" si="22">SUM(C75:J75)</f>
        <v>48710867</v>
      </c>
    </row>
    <row r="76" spans="1:11" x14ac:dyDescent="0.25">
      <c r="A76" s="39"/>
      <c r="B76" s="19"/>
      <c r="C76" s="17"/>
      <c r="D76" s="17"/>
      <c r="E76" s="17"/>
      <c r="F76" s="17"/>
      <c r="G76" s="17"/>
      <c r="H76" s="17"/>
      <c r="I76" s="17"/>
      <c r="J76" s="17"/>
      <c r="K76" s="18"/>
    </row>
    <row r="77" spans="1:11" x14ac:dyDescent="0.25">
      <c r="A77" s="39">
        <v>4100000</v>
      </c>
      <c r="B77" s="19" t="s">
        <v>53</v>
      </c>
      <c r="C77" s="17">
        <f>250000000-131300356</f>
        <v>118699644</v>
      </c>
      <c r="D77" s="17"/>
      <c r="E77" s="17"/>
      <c r="F77" s="17"/>
      <c r="G77" s="17"/>
      <c r="H77" s="17"/>
      <c r="I77" s="17"/>
      <c r="J77" s="17"/>
      <c r="K77" s="18">
        <f t="shared" ref="K77" si="23">SUM(C77:J77)</f>
        <v>118699644</v>
      </c>
    </row>
    <row r="78" spans="1:11" x14ac:dyDescent="0.25">
      <c r="A78" s="39"/>
      <c r="B78" s="19"/>
      <c r="C78" s="17"/>
      <c r="D78" s="17"/>
      <c r="E78" s="17"/>
      <c r="F78" s="17"/>
      <c r="G78" s="17"/>
      <c r="H78" s="17"/>
      <c r="I78" s="17"/>
      <c r="J78" s="17"/>
      <c r="K78" s="18"/>
    </row>
    <row r="79" spans="1:11" x14ac:dyDescent="0.25">
      <c r="A79" s="39">
        <v>4110000</v>
      </c>
      <c r="B79" s="19" t="s">
        <v>54</v>
      </c>
      <c r="C79" s="17">
        <f>23433526-5022362</f>
        <v>18411164</v>
      </c>
      <c r="D79" s="17"/>
      <c r="E79" s="17"/>
      <c r="F79" s="17"/>
      <c r="G79" s="17"/>
      <c r="H79" s="17"/>
      <c r="I79" s="17"/>
      <c r="J79" s="17"/>
      <c r="K79" s="18">
        <f t="shared" ref="K79" si="24">SUM(C79:J79)</f>
        <v>18411164</v>
      </c>
    </row>
    <row r="80" spans="1:11" x14ac:dyDescent="0.25">
      <c r="A80" s="39"/>
      <c r="B80" s="19"/>
      <c r="C80" s="17"/>
      <c r="D80" s="17"/>
      <c r="E80" s="17"/>
      <c r="F80" s="17"/>
      <c r="G80" s="17"/>
      <c r="H80" s="17"/>
      <c r="I80" s="17"/>
      <c r="J80" s="17"/>
      <c r="K80" s="18"/>
    </row>
    <row r="81" spans="1:12" x14ac:dyDescent="0.25">
      <c r="A81" s="39">
        <v>4120000</v>
      </c>
      <c r="B81" s="19" t="s">
        <v>55</v>
      </c>
      <c r="C81" s="17">
        <f>7937468-2106177</f>
        <v>5831291</v>
      </c>
      <c r="D81" s="17"/>
      <c r="E81" s="17"/>
      <c r="F81" s="17"/>
      <c r="G81" s="17"/>
      <c r="H81" s="17"/>
      <c r="I81" s="17"/>
      <c r="J81" s="17"/>
      <c r="K81" s="18">
        <f t="shared" ref="K81" si="25">SUM(C81:J81)</f>
        <v>5831291</v>
      </c>
    </row>
    <row r="82" spans="1:12" x14ac:dyDescent="0.25">
      <c r="A82" s="39"/>
      <c r="B82" s="19"/>
      <c r="C82" s="17"/>
      <c r="D82" s="17"/>
      <c r="E82" s="17"/>
      <c r="F82" s="17"/>
      <c r="G82" s="17"/>
      <c r="H82" s="17"/>
      <c r="I82" s="17"/>
      <c r="J82" s="17"/>
      <c r="K82" s="18"/>
    </row>
    <row r="83" spans="1:12" x14ac:dyDescent="0.25">
      <c r="A83" s="39">
        <v>4130000</v>
      </c>
      <c r="B83" s="19" t="s">
        <v>57</v>
      </c>
      <c r="C83" s="17">
        <f>21925000-325000-9673527</f>
        <v>11926473</v>
      </c>
      <c r="D83" s="17"/>
      <c r="E83" s="17"/>
      <c r="F83" s="17"/>
      <c r="G83" s="17"/>
      <c r="H83" s="17"/>
      <c r="I83" s="17"/>
      <c r="J83" s="17"/>
      <c r="K83" s="18">
        <f t="shared" ref="K83" si="26">SUM(C83:J83)</f>
        <v>11926473</v>
      </c>
    </row>
    <row r="84" spans="1:12" x14ac:dyDescent="0.25">
      <c r="A84" s="39"/>
      <c r="B84" s="19"/>
      <c r="C84" s="17"/>
      <c r="D84" s="17"/>
      <c r="E84" s="17"/>
      <c r="F84" s="17"/>
      <c r="G84" s="17"/>
      <c r="H84" s="17"/>
      <c r="I84" s="17"/>
      <c r="J84" s="17"/>
      <c r="K84" s="18"/>
    </row>
    <row r="85" spans="1:12" s="50" customFormat="1" x14ac:dyDescent="0.25">
      <c r="A85" s="47">
        <v>4140000</v>
      </c>
      <c r="B85" s="48" t="s">
        <v>58</v>
      </c>
      <c r="C85" s="49">
        <f>34211005+1620629</f>
        <v>35831634</v>
      </c>
      <c r="D85" s="49">
        <v>0</v>
      </c>
      <c r="E85" s="49">
        <v>185649</v>
      </c>
      <c r="F85" s="49">
        <v>2896581</v>
      </c>
      <c r="G85" s="49">
        <v>1242037</v>
      </c>
      <c r="H85" s="49">
        <v>3277892</v>
      </c>
      <c r="I85" s="49">
        <v>2974316</v>
      </c>
      <c r="J85" s="49">
        <v>1227520</v>
      </c>
      <c r="K85" s="25">
        <f t="shared" ref="K85" si="27">SUM(C85:J85)</f>
        <v>47635629</v>
      </c>
    </row>
    <row r="86" spans="1:12" ht="16.5" thickBot="1" x14ac:dyDescent="0.3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4"/>
    </row>
    <row r="87" spans="1:12" ht="31.5" x14ac:dyDescent="0.25">
      <c r="A87" s="45">
        <v>5000000</v>
      </c>
      <c r="B87" s="46" t="s">
        <v>63</v>
      </c>
      <c r="C87" s="36">
        <f>143774909-301038-869623-535526</f>
        <v>142068722</v>
      </c>
      <c r="D87" s="36">
        <f>7598858+72444</f>
        <v>7671302</v>
      </c>
      <c r="E87" s="36">
        <f>31703414+126519</f>
        <v>31829933</v>
      </c>
      <c r="F87" s="36">
        <f>20606395+45830</f>
        <v>20652225</v>
      </c>
      <c r="G87" s="36">
        <f>10602035+83238</f>
        <v>10685273</v>
      </c>
      <c r="H87" s="36">
        <f>2626158+100000</f>
        <v>2726158</v>
      </c>
      <c r="I87" s="36">
        <v>4564861</v>
      </c>
      <c r="J87" s="36">
        <f>3319794+24617</f>
        <v>3344411</v>
      </c>
      <c r="K87" s="37">
        <f t="shared" ref="K87" si="28">SUM(C87:J87)</f>
        <v>223542885</v>
      </c>
    </row>
    <row r="88" spans="1:12" ht="16.5" thickBot="1" x14ac:dyDescent="0.3">
      <c r="A88" s="79"/>
      <c r="B88" s="80"/>
      <c r="C88" s="81"/>
      <c r="D88" s="81"/>
      <c r="E88" s="81"/>
      <c r="F88" s="81"/>
      <c r="G88" s="81"/>
      <c r="H88" s="81"/>
      <c r="I88" s="81"/>
      <c r="J88" s="81"/>
      <c r="K88" s="82"/>
    </row>
    <row r="89" spans="1:12" ht="32.25" thickBot="1" x14ac:dyDescent="0.3">
      <c r="A89" s="66">
        <v>6010000</v>
      </c>
      <c r="B89" s="83" t="s">
        <v>73</v>
      </c>
      <c r="C89" s="55">
        <f>236346291+1000</f>
        <v>236347291</v>
      </c>
      <c r="D89" s="55"/>
      <c r="E89" s="55"/>
      <c r="F89" s="55"/>
      <c r="G89" s="55"/>
      <c r="H89" s="55"/>
      <c r="I89" s="55"/>
      <c r="J89" s="55"/>
      <c r="K89" s="84">
        <f t="shared" ref="K89" si="29">SUM(C89:J89)</f>
        <v>236347291</v>
      </c>
    </row>
    <row r="90" spans="1:12" ht="16.5" thickBot="1" x14ac:dyDescent="0.3">
      <c r="A90" s="79"/>
      <c r="B90" s="80"/>
      <c r="C90" s="81"/>
      <c r="D90" s="81"/>
      <c r="E90" s="81"/>
      <c r="F90" s="81"/>
      <c r="G90" s="81"/>
      <c r="H90" s="81"/>
      <c r="I90" s="81"/>
      <c r="J90" s="81"/>
      <c r="K90" s="82"/>
    </row>
    <row r="91" spans="1:12" ht="16.5" thickBot="1" x14ac:dyDescent="0.3">
      <c r="A91" s="53"/>
      <c r="B91" s="54" t="s">
        <v>56</v>
      </c>
      <c r="C91" s="55">
        <f>SUM(C14+C47+C69+C87+C65+C89)</f>
        <v>3164778199</v>
      </c>
      <c r="D91" s="55">
        <f t="shared" ref="D91:I91" si="30">SUM(D14+D47+D69+D87+D65+D89)</f>
        <v>144918249</v>
      </c>
      <c r="E91" s="55">
        <f t="shared" si="30"/>
        <v>172109564</v>
      </c>
      <c r="F91" s="55">
        <f t="shared" si="30"/>
        <v>126475161</v>
      </c>
      <c r="G91" s="55">
        <f t="shared" si="30"/>
        <v>53846013</v>
      </c>
      <c r="H91" s="55">
        <f t="shared" si="30"/>
        <v>77409038</v>
      </c>
      <c r="I91" s="55">
        <f t="shared" si="30"/>
        <v>53520481</v>
      </c>
      <c r="J91" s="55">
        <f>SUM(J14+J47+J69+J87+J65+J89)</f>
        <v>19008040</v>
      </c>
      <c r="K91" s="56">
        <f>SUM(C91:J91)</f>
        <v>3812064745</v>
      </c>
      <c r="L91" s="97"/>
    </row>
    <row r="94" spans="1:12" x14ac:dyDescent="0.25">
      <c r="A94" s="51"/>
      <c r="B94" s="52"/>
      <c r="C94" s="5"/>
      <c r="D94" s="5"/>
      <c r="E94" s="5"/>
      <c r="F94" s="5"/>
      <c r="G94" s="5"/>
      <c r="H94" s="5"/>
      <c r="I94" s="5"/>
      <c r="J94" s="5"/>
      <c r="K94" s="5"/>
    </row>
  </sheetData>
  <mergeCells count="7">
    <mergeCell ref="A11:B11"/>
    <mergeCell ref="C11:K11"/>
    <mergeCell ref="J1:K1"/>
    <mergeCell ref="H2:K2"/>
    <mergeCell ref="H3:K3"/>
    <mergeCell ref="H4:K4"/>
    <mergeCell ref="H5:K5"/>
  </mergeCells>
  <pageMargins left="0.39370078740157483" right="0.39370078740157483" top="0.43307086614173229" bottom="0.39370078740157483" header="0" footer="0"/>
  <pageSetup paperSize="9" scale="73" firstPageNumber="6" fitToHeight="3" orientation="landscape" useFirstPageNumber="1" r:id="rId1"/>
  <headerFooter scaleWithDoc="0" alignWithMargins="0">
    <oddHeader>&amp;C- &amp;P -</oddHeader>
  </headerFooter>
  <rowBreaks count="2" manualBreakCount="2">
    <brk id="31" max="10" man="1"/>
    <brk id="5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1 (1695)</vt:lpstr>
      <vt:lpstr>'приложение № 1 (1695)'!Заголовки_для_печати</vt:lpstr>
      <vt:lpstr>'приложение № 1 (1695)'!Область_печати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2025-12-30T07:21:39Z</dcterms:modified>
</cp:coreProperties>
</file>