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78C4F08-4613-4F13-9A47-5FABBE4CC41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4 (1695)" sheetId="6" r:id="rId1"/>
  </sheets>
  <definedNames>
    <definedName name="_xlnm.Print_Titles" localSheetId="0">'Приложение №4 (1695)'!$19:$19</definedName>
    <definedName name="_xlnm.Print_Area" localSheetId="0">'Приложение №4 (1695)'!$A$1:$K$79</definedName>
  </definedNames>
  <calcPr calcId="191029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6" l="1"/>
  <c r="D55" i="6"/>
  <c r="C76" i="6" l="1"/>
  <c r="G71" i="6" l="1"/>
  <c r="C71" i="6"/>
  <c r="C51" i="6" s="1"/>
  <c r="D51" i="6" l="1"/>
  <c r="F51" i="6"/>
  <c r="K79" i="6" l="1"/>
  <c r="C78" i="6"/>
  <c r="E77" i="6"/>
  <c r="J76" i="6"/>
  <c r="I76" i="6"/>
  <c r="H76" i="6"/>
  <c r="G76" i="6"/>
  <c r="F76" i="6"/>
  <c r="E76" i="6"/>
  <c r="D76" i="6"/>
  <c r="J75" i="6"/>
  <c r="I75" i="6"/>
  <c r="H75" i="6"/>
  <c r="G75" i="6"/>
  <c r="F75" i="6"/>
  <c r="E75" i="6"/>
  <c r="D75" i="6"/>
  <c r="C75" i="6"/>
  <c r="J74" i="6"/>
  <c r="I74" i="6"/>
  <c r="H74" i="6"/>
  <c r="G74" i="6"/>
  <c r="F74" i="6"/>
  <c r="E74" i="6"/>
  <c r="D74" i="6"/>
  <c r="K72" i="6"/>
  <c r="H71" i="6"/>
  <c r="H51" i="6" s="1"/>
  <c r="C70" i="6"/>
  <c r="C69" i="6"/>
  <c r="K68" i="6"/>
  <c r="J66" i="6"/>
  <c r="I66" i="6"/>
  <c r="H66" i="6"/>
  <c r="G66" i="6"/>
  <c r="F66" i="6"/>
  <c r="E66" i="6"/>
  <c r="D66" i="6"/>
  <c r="C66" i="6"/>
  <c r="J64" i="6"/>
  <c r="I64" i="6"/>
  <c r="H64" i="6"/>
  <c r="G64" i="6"/>
  <c r="F64" i="6"/>
  <c r="E64" i="6"/>
  <c r="C64" i="6"/>
  <c r="C59" i="6"/>
  <c r="K57" i="6"/>
  <c r="J55" i="6"/>
  <c r="I55" i="6"/>
  <c r="H55" i="6"/>
  <c r="G55" i="6"/>
  <c r="F55" i="6"/>
  <c r="E55" i="6"/>
  <c r="C55" i="6"/>
  <c r="K54" i="6"/>
  <c r="J53" i="6"/>
  <c r="I53" i="6"/>
  <c r="H53" i="6"/>
  <c r="G53" i="6"/>
  <c r="F53" i="6"/>
  <c r="E53" i="6"/>
  <c r="E52" i="6" s="1"/>
  <c r="D53" i="6"/>
  <c r="D52" i="6" s="1"/>
  <c r="C53" i="6"/>
  <c r="C52" i="6" s="1"/>
  <c r="C49" i="6" s="1"/>
  <c r="J52" i="6"/>
  <c r="I52" i="6"/>
  <c r="H52" i="6"/>
  <c r="G52" i="6"/>
  <c r="J51" i="6"/>
  <c r="I51" i="6"/>
  <c r="G51" i="6"/>
  <c r="E51" i="6"/>
  <c r="J50" i="6"/>
  <c r="I50" i="6"/>
  <c r="H50" i="6"/>
  <c r="G50" i="6"/>
  <c r="F50" i="6"/>
  <c r="E50" i="6"/>
  <c r="D50" i="6"/>
  <c r="C50" i="6"/>
  <c r="J49" i="6"/>
  <c r="J47" i="6"/>
  <c r="I47" i="6"/>
  <c r="H47" i="6"/>
  <c r="G47" i="6"/>
  <c r="G41" i="6" s="1"/>
  <c r="F47" i="6"/>
  <c r="E47" i="6"/>
  <c r="E41" i="6" s="1"/>
  <c r="D47" i="6"/>
  <c r="C47" i="6"/>
  <c r="J46" i="6"/>
  <c r="F46" i="6"/>
  <c r="E46" i="6"/>
  <c r="D46" i="6"/>
  <c r="C46" i="6"/>
  <c r="K45" i="6"/>
  <c r="C44" i="6"/>
  <c r="K43" i="6"/>
  <c r="J42" i="6"/>
  <c r="J41" i="6" s="1"/>
  <c r="H42" i="6"/>
  <c r="F42" i="6"/>
  <c r="F41" i="6" s="1"/>
  <c r="D42" i="6"/>
  <c r="C42" i="6"/>
  <c r="I41" i="6"/>
  <c r="I38" i="6"/>
  <c r="G38" i="6"/>
  <c r="E38" i="6"/>
  <c r="D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J23" i="6"/>
  <c r="I23" i="6"/>
  <c r="H23" i="6"/>
  <c r="G23" i="6"/>
  <c r="F23" i="6"/>
  <c r="E23" i="6"/>
  <c r="D23" i="6"/>
  <c r="C23" i="6"/>
  <c r="G22" i="6"/>
  <c r="G20" i="6" s="1"/>
  <c r="C22" i="6"/>
  <c r="C20" i="6" s="1"/>
  <c r="K21" i="6"/>
  <c r="H49" i="6" l="1"/>
  <c r="C74" i="6"/>
  <c r="E49" i="6"/>
  <c r="G49" i="6"/>
  <c r="G61" i="6" s="1"/>
  <c r="E22" i="6"/>
  <c r="I22" i="6"/>
  <c r="I67" i="6" s="1"/>
  <c r="I49" i="6"/>
  <c r="D41" i="6"/>
  <c r="H41" i="6"/>
  <c r="H61" i="6" s="1"/>
  <c r="C67" i="6"/>
  <c r="C65" i="6" s="1"/>
  <c r="E67" i="6"/>
  <c r="G67" i="6"/>
  <c r="D22" i="6"/>
  <c r="D67" i="6" s="1"/>
  <c r="F22" i="6"/>
  <c r="F20" i="6" s="1"/>
  <c r="H22" i="6"/>
  <c r="H67" i="6" s="1"/>
  <c r="J22" i="6"/>
  <c r="J20" i="6" s="1"/>
  <c r="K42" i="6"/>
  <c r="K44" i="6"/>
  <c r="K47" i="6"/>
  <c r="D49" i="6"/>
  <c r="F52" i="6"/>
  <c r="K55" i="6"/>
  <c r="K59" i="6"/>
  <c r="K69" i="6"/>
  <c r="K70" i="6"/>
  <c r="K71" i="6"/>
  <c r="K75" i="6"/>
  <c r="K76" i="6"/>
  <c r="K77" i="6"/>
  <c r="K78" i="6"/>
  <c r="E61" i="6"/>
  <c r="K50" i="6"/>
  <c r="K51" i="6"/>
  <c r="K52" i="6"/>
  <c r="K53" i="6"/>
  <c r="K64" i="6"/>
  <c r="K66" i="6"/>
  <c r="K38" i="6"/>
  <c r="K46" i="6"/>
  <c r="I61" i="6"/>
  <c r="E20" i="6"/>
  <c r="K23" i="6"/>
  <c r="J61" i="6"/>
  <c r="D20" i="6"/>
  <c r="H20" i="6"/>
  <c r="F67" i="6"/>
  <c r="C41" i="6"/>
  <c r="I20" i="6" l="1"/>
  <c r="D61" i="6"/>
  <c r="K22" i="6"/>
  <c r="J67" i="6"/>
  <c r="K67" i="6" s="1"/>
  <c r="K41" i="6"/>
  <c r="F65" i="6"/>
  <c r="H65" i="6"/>
  <c r="D65" i="6"/>
  <c r="K74" i="6"/>
  <c r="F49" i="6"/>
  <c r="I65" i="6"/>
  <c r="G65" i="6"/>
  <c r="E65" i="6"/>
  <c r="C61" i="6"/>
  <c r="K20" i="6"/>
  <c r="C63" i="6"/>
  <c r="J65" i="6" l="1"/>
  <c r="K65" i="6"/>
  <c r="E63" i="6"/>
  <c r="G63" i="6"/>
  <c r="I63" i="6"/>
  <c r="K49" i="6"/>
  <c r="F61" i="6"/>
  <c r="D63" i="6"/>
  <c r="H63" i="6"/>
  <c r="J63" i="6"/>
  <c r="F63" i="6"/>
  <c r="K63" i="6" l="1"/>
  <c r="K61" i="6"/>
</calcChain>
</file>

<file path=xl/sharedStrings.xml><?xml version="1.0" encoding="utf-8"?>
<sst xmlns="http://schemas.openxmlformats.org/spreadsheetml/2006/main" count="131" uniqueCount="128">
  <si>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</si>
  <si>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</si>
  <si>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</si>
  <si>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</si>
  <si>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</si>
  <si>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</si>
  <si>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</si>
  <si>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</si>
  <si>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</si>
  <si>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</si>
  <si>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</si>
  <si>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</si>
  <si>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</si>
  <si>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</si>
  <si>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</si>
  <si>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</si>
  <si>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</si>
  <si>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</si>
  <si>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</si>
  <si>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</si>
  <si>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</si>
  <si>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</si>
  <si>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</si>
  <si>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</si>
  <si>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</si>
  <si>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</si>
  <si>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</si>
  <si>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</si>
  <si>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</si>
  <si>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</si>
  <si>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</si>
  <si>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</si>
  <si>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</si>
  <si>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</si>
  <si>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</si>
  <si>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</si>
  <si>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</si>
  <si>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</si>
  <si>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</si>
  <si>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</si>
  <si>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</si>
  <si>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</si>
  <si>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</si>
  <si>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</si>
  <si>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</si>
  <si>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</si>
  <si>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</si>
  <si>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</si>
  <si>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</si>
  <si>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</si>
  <si>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</si>
  <si>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</si>
  <si>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</si>
  <si>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</si>
  <si>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</si>
  <si>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</si>
  <si>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</si>
  <si>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</si>
  <si>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</si>
  <si>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</si>
  <si>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</si>
  <si>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</si>
  <si>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</si>
  <si>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</si>
  <si>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</si>
  <si>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</si>
  <si>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</si>
  <si>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</si>
  <si>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</si>
  <si>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</si>
  <si>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</si>
  <si>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</si>
  <si>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</si>
  <si>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</si>
  <si>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</si>
  <si>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</si>
  <si>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</si>
  <si>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</si>
  <si>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</si>
  <si>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</si>
  <si>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</si>
  <si>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</si>
  <si>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</si>
  <si>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</si>
  <si>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</si>
  <si>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</si>
  <si>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</si>
  <si>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</si>
  <si>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</si>
  <si>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на содержание и благоустройство ИВМК «Бендерская крепость» и парка им. А. Невского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</si>
  <si>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</si>
  <si>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</si>
  <si>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</si>
  <si>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</si>
  <si>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</si>
  <si>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Приложение № 3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</si>
  <si>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</si>
  <si>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</si>
  <si>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</si>
  <si>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</si>
  <si>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r>
      <t>2.1.1</t>
    </r>
    <r>
      <rPr>
        <sz val="12"/>
        <color rgb="FF00B0F0"/>
        <rFont val="Times New Roman"/>
        <family val="1"/>
        <charset val="204"/>
      </rPr>
      <t>.</t>
    </r>
  </si>
  <si>
    <r>
      <t>2.1.2</t>
    </r>
    <r>
      <rPr>
        <sz val="12"/>
        <color rgb="FF00B0F0"/>
        <rFont val="Times New Roman"/>
        <family val="1"/>
        <charset val="204"/>
      </rPr>
      <t>.</t>
    </r>
  </si>
  <si>
    <r>
      <t>2.1.3</t>
    </r>
    <r>
      <rPr>
        <sz val="12"/>
        <color rgb="FF00B0F0"/>
        <rFont val="Times New Roman"/>
        <family val="1"/>
        <charset val="204"/>
      </rPr>
      <t>.</t>
    </r>
  </si>
  <si>
    <r>
      <t>2.1.4</t>
    </r>
    <r>
      <rPr>
        <sz val="12"/>
        <color rgb="FF00B0F0"/>
        <rFont val="Times New Roman"/>
        <family val="1"/>
        <charset val="204"/>
      </rPr>
      <t>.</t>
    </r>
  </si>
  <si>
    <r>
      <t>3.3.1.1</t>
    </r>
    <r>
      <rPr>
        <i/>
        <sz val="12"/>
        <color rgb="FF00B0F0"/>
        <rFont val="Times New Roman"/>
        <family val="1"/>
        <charset val="204"/>
      </rPr>
      <t>.</t>
    </r>
  </si>
  <si>
    <t>по прочим направлениям</t>
  </si>
  <si>
    <t xml:space="preserve">Перечисление средств, не имеющих целевое назначени в доход республиканского бюджета </t>
  </si>
  <si>
    <t xml:space="preserve">Перечисление средств,  имеющих целевое назначени в доход республиканского бюджета </t>
  </si>
  <si>
    <r>
      <t>7.2</t>
    </r>
    <r>
      <rPr>
        <sz val="12"/>
        <color rgb="FF00B0F0"/>
        <rFont val="Times New Roman"/>
        <family val="1"/>
        <charset val="204"/>
      </rPr>
      <t>.</t>
    </r>
  </si>
  <si>
    <t>7.2.1.</t>
  </si>
  <si>
    <t>7.2.2.</t>
  </si>
  <si>
    <t>8.</t>
  </si>
  <si>
    <t>8.1.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</si>
  <si>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</si>
  <si>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</si>
  <si>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</si>
  <si>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</si>
  <si>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</si>
  <si>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</si>
  <si>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</si>
  <si>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>8.2.</t>
  </si>
  <si>
    <t>8.3.</t>
  </si>
  <si>
    <t>8.4.</t>
  </si>
  <si>
    <t>8.5.</t>
  </si>
  <si>
    <t xml:space="preserve">к Закону Приднестровской Молдавской Республики </t>
  </si>
  <si>
    <t>Приложение № 4</t>
  </si>
  <si>
    <r>
      <rPr>
        <sz val="12"/>
        <color rgb="FFFFFF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Приложение № 4</t>
    </r>
  </si>
  <si>
    <t>"О внесении изменений и дополнения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</si>
</sst>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FFFF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3" fontId="7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3" fontId="9" fillId="2" borderId="0" xfId="0" applyNumberFormat="1" applyFont="1" applyFill="1"/>
    <xf numFmtId="3" fontId="7" fillId="0" borderId="0" xfId="0" applyNumberFormat="1" applyFont="1"/>
    <xf numFmtId="3" fontId="9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49" fontId="9" fillId="0" borderId="1" xfId="11" applyNumberFormat="1" applyFont="1" applyBorder="1" applyAlignment="1">
      <alignment horizontal="center" vertical="center"/>
    </xf>
    <xf numFmtId="3" fontId="9" fillId="0" borderId="1" xfId="1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1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10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 wrapText="1"/>
    </xf>
    <xf numFmtId="3" fontId="11" fillId="5" borderId="1" xfId="0" applyNumberFormat="1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right" vertical="center"/>
    </xf>
    <xf numFmtId="3" fontId="19" fillId="0" borderId="0" xfId="0" applyNumberFormat="1" applyFont="1"/>
    <xf numFmtId="0" fontId="6" fillId="2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right" vertical="center"/>
    </xf>
  </cellXfs>
  <cellStyles count="21">
    <cellStyle name="Обычный" xfId="0" builtinId="0"/>
    <cellStyle name="Обычный 2" xfId="11" xr:uid="{00000000-0005-0000-0000-000001000000}"/>
    <cellStyle name="Обычный 3" xfId="12" xr:uid="{00000000-0005-0000-0000-000002000000}"/>
    <cellStyle name="Финансовый 2" xfId="1" xr:uid="{00000000-0005-0000-0000-000003000000}"/>
    <cellStyle name="Финансовый 2 2" xfId="4" xr:uid="{00000000-0005-0000-0000-000004000000}"/>
    <cellStyle name="Финансовый 2 2 2" xfId="9" xr:uid="{00000000-0005-0000-0000-000005000000}"/>
    <cellStyle name="Финансовый 2 2 3" xfId="19" xr:uid="{00000000-0005-0000-0000-000006000000}"/>
    <cellStyle name="Финансовый 2 3" xfId="6" xr:uid="{00000000-0005-0000-0000-000007000000}"/>
    <cellStyle name="Финансовый 2 4" xfId="15" xr:uid="{00000000-0005-0000-0000-000008000000}"/>
    <cellStyle name="Финансовый 3" xfId="2" xr:uid="{00000000-0005-0000-0000-000009000000}"/>
    <cellStyle name="Финансовый 3 2" xfId="7" xr:uid="{00000000-0005-0000-0000-00000A000000}"/>
    <cellStyle name="Финансовый 3 2 2" xfId="18" xr:uid="{00000000-0005-0000-0000-00000B000000}"/>
    <cellStyle name="Финансовый 3 2 3" xfId="14" xr:uid="{00000000-0005-0000-0000-00000C000000}"/>
    <cellStyle name="Финансовый 3 3" xfId="17" xr:uid="{00000000-0005-0000-0000-00000D000000}"/>
    <cellStyle name="Финансовый 3 4" xfId="13" xr:uid="{00000000-0005-0000-0000-00000E000000}"/>
    <cellStyle name="Финансовый 4" xfId="3" xr:uid="{00000000-0005-0000-0000-00000F000000}"/>
    <cellStyle name="Финансовый 4 2" xfId="8" xr:uid="{00000000-0005-0000-0000-000010000000}"/>
    <cellStyle name="Финансовый 4 3" xfId="20" xr:uid="{00000000-0005-0000-0000-000011000000}"/>
    <cellStyle name="Финансовый 5" xfId="5" xr:uid="{00000000-0005-0000-0000-000012000000}"/>
    <cellStyle name="Финансовый 5 2" xfId="10" xr:uid="{00000000-0005-0000-0000-000013000000}"/>
    <cellStyle name="Финансовый 6" xfId="16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view="pageBreakPreview" zoomScaleNormal="100" zoomScaleSheetLayoutView="100" workbookViewId="0">
      <pane xSplit="2" ySplit="19" topLeftCell="D22" activePane="bottomRight" state="frozen"/>
      <selection pane="topRight" activeCell="C1" sqref="C1"/>
      <selection pane="bottomLeft" activeCell="A12" sqref="A12"/>
      <selection pane="bottomRight" activeCell="H15" sqref="H15:K15"/>
    </sheetView>
  </sheetViews>
  <sheetFormatPr defaultColWidth="9.140625" defaultRowHeight="15.75" x14ac:dyDescent="0.25"/>
  <cols>
    <col min="1" max="1" width="9.5703125" style="4" bestFit="1" customWidth="1"/>
    <col min="2" max="2" width="51.5703125" style="4" customWidth="1"/>
    <col min="3" max="3" width="13.7109375" style="4" bestFit="1" customWidth="1"/>
    <col min="4" max="4" width="14" style="4" bestFit="1" customWidth="1"/>
    <col min="5" max="5" width="13.7109375" style="4" bestFit="1" customWidth="1"/>
    <col min="6" max="6" width="12.42578125" style="4" bestFit="1" customWidth="1"/>
    <col min="7" max="7" width="19.5703125" style="5" bestFit="1" customWidth="1"/>
    <col min="8" max="8" width="13.7109375" style="4" bestFit="1" customWidth="1"/>
    <col min="9" max="9" width="17.7109375" style="4" bestFit="1" customWidth="1"/>
    <col min="10" max="10" width="14.28515625" style="4" customWidth="1"/>
    <col min="11" max="11" width="14.42578125" style="6" customWidth="1"/>
    <col min="12" max="16384" width="9.140625" style="4"/>
  </cols>
  <sheetData>
    <row r="1" spans="1:11" s="7" customFormat="1" hidden="1" x14ac:dyDescent="0.25">
      <c r="K1" s="2" t="s">
        <v>95</v>
      </c>
    </row>
    <row r="2" spans="1:11" s="7" customFormat="1" hidden="1" x14ac:dyDescent="0.25">
      <c r="K2" s="3" t="s">
        <v>96</v>
      </c>
    </row>
    <row r="3" spans="1:11" s="7" customFormat="1" hidden="1" x14ac:dyDescent="0.25">
      <c r="K3" s="2" t="s">
        <v>97</v>
      </c>
    </row>
    <row r="4" spans="1:11" s="7" customFormat="1" hidden="1" x14ac:dyDescent="0.25">
      <c r="K4" s="3" t="s">
        <v>98</v>
      </c>
    </row>
    <row r="5" spans="1:11" s="7" customFormat="1" hidden="1" x14ac:dyDescent="0.25">
      <c r="K5" s="3" t="s">
        <v>99</v>
      </c>
    </row>
    <row r="6" spans="1:11" s="7" customFormat="1" hidden="1" x14ac:dyDescent="0.25">
      <c r="K6" s="58"/>
    </row>
    <row r="7" spans="1:11" s="7" customFormat="1" x14ac:dyDescent="0.25">
      <c r="H7" s="69"/>
      <c r="I7" s="69"/>
      <c r="J7" s="71" t="s">
        <v>125</v>
      </c>
      <c r="K7" s="71"/>
    </row>
    <row r="8" spans="1:11" s="7" customFormat="1" x14ac:dyDescent="0.25">
      <c r="H8" s="71" t="s">
        <v>124</v>
      </c>
      <c r="I8" s="71"/>
      <c r="J8" s="71"/>
      <c r="K8" s="71"/>
    </row>
    <row r="9" spans="1:11" s="7" customFormat="1" x14ac:dyDescent="0.25">
      <c r="H9" s="74" t="s">
        <v>127</v>
      </c>
      <c r="I9" s="74"/>
      <c r="J9" s="74"/>
      <c r="K9" s="74"/>
    </row>
    <row r="10" spans="1:11" s="7" customFormat="1" x14ac:dyDescent="0.25">
      <c r="H10" s="71" t="s">
        <v>98</v>
      </c>
      <c r="I10" s="71"/>
      <c r="J10" s="71"/>
      <c r="K10" s="71"/>
    </row>
    <row r="11" spans="1:11" s="7" customFormat="1" x14ac:dyDescent="0.25">
      <c r="H11" s="71" t="s">
        <v>99</v>
      </c>
      <c r="I11" s="71"/>
      <c r="J11" s="71"/>
      <c r="K11" s="71"/>
    </row>
    <row r="12" spans="1:11" s="7" customFormat="1" x14ac:dyDescent="0.25">
      <c r="K12" s="58"/>
    </row>
    <row r="13" spans="1:11" s="56" customFormat="1" x14ac:dyDescent="0.25">
      <c r="A13" s="53"/>
      <c r="B13" s="54"/>
      <c r="C13" s="55"/>
      <c r="D13" s="55"/>
      <c r="E13" s="55"/>
      <c r="F13" s="55"/>
      <c r="G13" s="55"/>
      <c r="H13" s="73" t="s">
        <v>126</v>
      </c>
      <c r="I13" s="73"/>
      <c r="J13" s="73"/>
      <c r="K13" s="73"/>
    </row>
    <row r="14" spans="1:11" s="56" customFormat="1" x14ac:dyDescent="0.25">
      <c r="A14" s="53"/>
      <c r="B14" s="54"/>
      <c r="C14" s="55"/>
      <c r="D14" s="55"/>
      <c r="E14" s="55"/>
      <c r="F14" s="55"/>
      <c r="G14" s="73" t="s">
        <v>69</v>
      </c>
      <c r="H14" s="73"/>
      <c r="I14" s="73"/>
      <c r="J14" s="73"/>
      <c r="K14" s="73"/>
    </row>
    <row r="15" spans="1:11" s="56" customFormat="1" x14ac:dyDescent="0.25">
      <c r="A15" s="53"/>
      <c r="B15" s="54"/>
      <c r="C15" s="55"/>
      <c r="D15" s="55"/>
      <c r="E15" s="55"/>
      <c r="F15" s="55"/>
      <c r="G15" s="55"/>
      <c r="H15" s="73" t="s">
        <v>70</v>
      </c>
      <c r="I15" s="73"/>
      <c r="J15" s="73"/>
      <c r="K15" s="73"/>
    </row>
    <row r="16" spans="1:11" s="56" customFormat="1" x14ac:dyDescent="0.25">
      <c r="A16" s="53"/>
      <c r="B16" s="54"/>
      <c r="C16" s="55"/>
      <c r="D16" s="55"/>
      <c r="E16" s="55"/>
      <c r="F16" s="55"/>
      <c r="G16" s="55"/>
      <c r="H16" s="68"/>
      <c r="I16" s="68"/>
      <c r="J16" s="68"/>
      <c r="K16" s="57"/>
    </row>
    <row r="17" spans="1:11" s="7" customFormat="1" ht="15.75" customHeight="1" x14ac:dyDescent="0.25">
      <c r="A17" s="72" t="s">
        <v>38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x14ac:dyDescent="0.25">
      <c r="A18" s="1"/>
      <c r="B18" s="1"/>
      <c r="C18" s="59"/>
      <c r="D18" s="59"/>
      <c r="E18" s="59"/>
      <c r="F18" s="59"/>
      <c r="G18" s="59"/>
      <c r="H18" s="59"/>
      <c r="I18" s="59"/>
      <c r="J18" s="59"/>
      <c r="K18" s="59"/>
    </row>
    <row r="19" spans="1:11" s="10" customFormat="1" x14ac:dyDescent="0.25">
      <c r="A19" s="8" t="s">
        <v>10</v>
      </c>
      <c r="B19" s="9" t="s">
        <v>0</v>
      </c>
      <c r="C19" s="8" t="s">
        <v>1</v>
      </c>
      <c r="D19" s="8" t="s">
        <v>2</v>
      </c>
      <c r="E19" s="8" t="s">
        <v>3</v>
      </c>
      <c r="F19" s="8" t="s">
        <v>4</v>
      </c>
      <c r="G19" s="8" t="s">
        <v>5</v>
      </c>
      <c r="H19" s="8" t="s">
        <v>6</v>
      </c>
      <c r="I19" s="8" t="s">
        <v>7</v>
      </c>
      <c r="J19" s="8" t="s">
        <v>8</v>
      </c>
      <c r="K19" s="8" t="s">
        <v>9</v>
      </c>
    </row>
    <row r="20" spans="1:11" s="10" customFormat="1" x14ac:dyDescent="0.25">
      <c r="A20" s="11" t="s">
        <v>14</v>
      </c>
      <c r="B20" s="12" t="s">
        <v>68</v>
      </c>
      <c r="C20" s="13">
        <f>C21+C22</f>
        <v>105085028</v>
      </c>
      <c r="D20" s="13">
        <f t="shared" ref="D20:J20" si="0">D21+D22</f>
        <v>11441698</v>
      </c>
      <c r="E20" s="13">
        <f t="shared" si="0"/>
        <v>6464703</v>
      </c>
      <c r="F20" s="13">
        <f t="shared" si="0"/>
        <v>28634752</v>
      </c>
      <c r="G20" s="13">
        <f t="shared" si="0"/>
        <v>13883816</v>
      </c>
      <c r="H20" s="13">
        <f t="shared" si="0"/>
        <v>5492400</v>
      </c>
      <c r="I20" s="13">
        <f t="shared" si="0"/>
        <v>6688997</v>
      </c>
      <c r="J20" s="13">
        <f t="shared" si="0"/>
        <v>6088084</v>
      </c>
      <c r="K20" s="13">
        <f>SUM(C20:J20)</f>
        <v>183779478</v>
      </c>
    </row>
    <row r="21" spans="1:11" s="10" customFormat="1" x14ac:dyDescent="0.25">
      <c r="A21" s="14" t="s">
        <v>26</v>
      </c>
      <c r="B21" s="15" t="s">
        <v>65</v>
      </c>
      <c r="C21" s="16">
        <v>83354160</v>
      </c>
      <c r="D21" s="16">
        <v>1980904</v>
      </c>
      <c r="E21" s="16">
        <v>213707</v>
      </c>
      <c r="F21" s="16">
        <v>15917310</v>
      </c>
      <c r="G21" s="16">
        <v>4854094</v>
      </c>
      <c r="H21" s="16">
        <v>1230308</v>
      </c>
      <c r="I21" s="16">
        <v>2475050</v>
      </c>
      <c r="J21" s="16">
        <v>1557938</v>
      </c>
      <c r="K21" s="16">
        <f t="shared" ref="K21:K22" si="1">SUM(C21:J21)</f>
        <v>111583471</v>
      </c>
    </row>
    <row r="22" spans="1:11" s="10" customFormat="1" x14ac:dyDescent="0.25">
      <c r="A22" s="14" t="s">
        <v>27</v>
      </c>
      <c r="B22" s="15" t="s">
        <v>71</v>
      </c>
      <c r="C22" s="16">
        <f>C23+C36+C37+C38+C39</f>
        <v>21730868</v>
      </c>
      <c r="D22" s="16">
        <f t="shared" ref="D22:J22" si="2">D23+D36+D37+D38+D39</f>
        <v>9460794</v>
      </c>
      <c r="E22" s="16">
        <f t="shared" si="2"/>
        <v>6250996</v>
      </c>
      <c r="F22" s="16">
        <f t="shared" si="2"/>
        <v>12717442</v>
      </c>
      <c r="G22" s="16">
        <f t="shared" si="2"/>
        <v>9029722</v>
      </c>
      <c r="H22" s="16">
        <f t="shared" si="2"/>
        <v>4262092</v>
      </c>
      <c r="I22" s="16">
        <f t="shared" si="2"/>
        <v>4213947</v>
      </c>
      <c r="J22" s="16">
        <f t="shared" si="2"/>
        <v>4530146</v>
      </c>
      <c r="K22" s="16">
        <f t="shared" si="1"/>
        <v>72196007</v>
      </c>
    </row>
    <row r="23" spans="1:11" s="10" customFormat="1" x14ac:dyDescent="0.25">
      <c r="A23" s="14" t="s">
        <v>74</v>
      </c>
      <c r="B23" s="15" t="s">
        <v>40</v>
      </c>
      <c r="C23" s="16">
        <f>SUM(C24:C35)</f>
        <v>11428375</v>
      </c>
      <c r="D23" s="16">
        <f t="shared" ref="D23:J23" si="3">SUM(D24:D35)</f>
        <v>7179807</v>
      </c>
      <c r="E23" s="16">
        <f t="shared" si="3"/>
        <v>2990283</v>
      </c>
      <c r="F23" s="16">
        <f t="shared" si="3"/>
        <v>7097305</v>
      </c>
      <c r="G23" s="16">
        <f t="shared" si="3"/>
        <v>4663858</v>
      </c>
      <c r="H23" s="16">
        <f t="shared" si="3"/>
        <v>2325155</v>
      </c>
      <c r="I23" s="16">
        <f t="shared" si="3"/>
        <v>3776908</v>
      </c>
      <c r="J23" s="16">
        <f t="shared" si="3"/>
        <v>2402014</v>
      </c>
      <c r="K23" s="16">
        <f>SUM(C23:J23)</f>
        <v>41863705</v>
      </c>
    </row>
    <row r="24" spans="1:11" s="10" customFormat="1" ht="31.5" x14ac:dyDescent="0.25">
      <c r="A24" s="14" t="s">
        <v>41</v>
      </c>
      <c r="B24" s="17" t="s">
        <v>66</v>
      </c>
      <c r="C24" s="16">
        <v>3541568</v>
      </c>
      <c r="D24" s="16">
        <v>285888</v>
      </c>
      <c r="E24" s="16">
        <v>443984</v>
      </c>
      <c r="F24" s="16">
        <v>2377805</v>
      </c>
      <c r="G24" s="16">
        <v>1272642</v>
      </c>
      <c r="H24" s="16">
        <v>755460</v>
      </c>
      <c r="I24" s="16">
        <v>819145</v>
      </c>
      <c r="J24" s="16">
        <v>294209</v>
      </c>
      <c r="K24" s="16">
        <f t="shared" ref="K24:K37" si="4">SUM(C24:J24)</f>
        <v>9790701</v>
      </c>
    </row>
    <row r="25" spans="1:11" s="10" customFormat="1" x14ac:dyDescent="0.25">
      <c r="A25" s="14" t="s">
        <v>42</v>
      </c>
      <c r="B25" s="17" t="s">
        <v>43</v>
      </c>
      <c r="C25" s="16"/>
      <c r="D25" s="16"/>
      <c r="E25" s="16">
        <v>1894</v>
      </c>
      <c r="F25" s="16">
        <v>3983</v>
      </c>
      <c r="G25" s="16"/>
      <c r="H25" s="16">
        <v>2092</v>
      </c>
      <c r="I25" s="16"/>
      <c r="J25" s="16">
        <v>26117</v>
      </c>
      <c r="K25" s="16">
        <f t="shared" si="4"/>
        <v>34086</v>
      </c>
    </row>
    <row r="26" spans="1:11" s="10" customFormat="1" ht="31.5" x14ac:dyDescent="0.25">
      <c r="A26" s="14" t="s">
        <v>44</v>
      </c>
      <c r="B26" s="17" t="s">
        <v>45</v>
      </c>
      <c r="C26" s="16">
        <v>90319</v>
      </c>
      <c r="D26" s="16"/>
      <c r="E26" s="16">
        <v>46413</v>
      </c>
      <c r="F26" s="16">
        <v>1320323</v>
      </c>
      <c r="G26" s="16">
        <v>412841</v>
      </c>
      <c r="H26" s="16">
        <v>41127</v>
      </c>
      <c r="I26" s="16">
        <v>937292</v>
      </c>
      <c r="J26" s="16">
        <v>233576</v>
      </c>
      <c r="K26" s="16">
        <f t="shared" si="4"/>
        <v>3081891</v>
      </c>
    </row>
    <row r="27" spans="1:11" s="10" customFormat="1" x14ac:dyDescent="0.25">
      <c r="A27" s="14" t="s">
        <v>46</v>
      </c>
      <c r="B27" s="17" t="s">
        <v>47</v>
      </c>
      <c r="C27" s="16">
        <v>4470648</v>
      </c>
      <c r="D27" s="16">
        <v>6779535</v>
      </c>
      <c r="E27" s="16">
        <v>1378399</v>
      </c>
      <c r="F27" s="16">
        <v>1548347</v>
      </c>
      <c r="G27" s="16">
        <v>987780</v>
      </c>
      <c r="H27" s="16">
        <v>9182</v>
      </c>
      <c r="I27" s="16">
        <v>1462114</v>
      </c>
      <c r="J27" s="16">
        <v>603984</v>
      </c>
      <c r="K27" s="16">
        <f t="shared" si="4"/>
        <v>17239989</v>
      </c>
    </row>
    <row r="28" spans="1:11" s="10" customFormat="1" x14ac:dyDescent="0.25">
      <c r="A28" s="14" t="s">
        <v>48</v>
      </c>
      <c r="B28" s="17" t="s">
        <v>49</v>
      </c>
      <c r="C28" s="16"/>
      <c r="D28" s="16"/>
      <c r="E28" s="16"/>
      <c r="F28" s="16"/>
      <c r="G28" s="16"/>
      <c r="H28" s="16"/>
      <c r="I28" s="16">
        <v>8288</v>
      </c>
      <c r="J28" s="16"/>
      <c r="K28" s="16">
        <f t="shared" si="4"/>
        <v>8288</v>
      </c>
    </row>
    <row r="29" spans="1:11" s="10" customFormat="1" x14ac:dyDescent="0.25">
      <c r="A29" s="14" t="s">
        <v>50</v>
      </c>
      <c r="B29" s="17" t="s">
        <v>51</v>
      </c>
      <c r="C29" s="16">
        <v>3188380</v>
      </c>
      <c r="D29" s="16">
        <v>114384</v>
      </c>
      <c r="E29" s="16"/>
      <c r="F29" s="16"/>
      <c r="G29" s="16"/>
      <c r="H29" s="16"/>
      <c r="I29" s="16"/>
      <c r="J29" s="16"/>
      <c r="K29" s="16">
        <f t="shared" si="4"/>
        <v>3302764</v>
      </c>
    </row>
    <row r="30" spans="1:11" s="10" customFormat="1" ht="31.5" x14ac:dyDescent="0.25">
      <c r="A30" s="14" t="s">
        <v>52</v>
      </c>
      <c r="B30" s="17" t="s">
        <v>53</v>
      </c>
      <c r="C30" s="16"/>
      <c r="D30" s="16"/>
      <c r="E30" s="16"/>
      <c r="F30" s="16">
        <v>541915</v>
      </c>
      <c r="G30" s="16"/>
      <c r="H30" s="16">
        <v>691482</v>
      </c>
      <c r="I30" s="16">
        <v>149968</v>
      </c>
      <c r="J30" s="16">
        <v>176832</v>
      </c>
      <c r="K30" s="16">
        <f t="shared" si="4"/>
        <v>1560197</v>
      </c>
    </row>
    <row r="31" spans="1:11" s="10" customFormat="1" ht="31.5" x14ac:dyDescent="0.25">
      <c r="A31" s="14" t="s">
        <v>54</v>
      </c>
      <c r="B31" s="17" t="s">
        <v>55</v>
      </c>
      <c r="C31" s="16"/>
      <c r="D31" s="16"/>
      <c r="E31" s="16"/>
      <c r="F31" s="16">
        <v>58080</v>
      </c>
      <c r="G31" s="16"/>
      <c r="H31" s="16">
        <v>205661</v>
      </c>
      <c r="I31" s="16">
        <v>101185</v>
      </c>
      <c r="J31" s="16">
        <v>380743</v>
      </c>
      <c r="K31" s="16">
        <f t="shared" si="4"/>
        <v>745669</v>
      </c>
    </row>
    <row r="32" spans="1:11" s="10" customFormat="1" x14ac:dyDescent="0.25">
      <c r="A32" s="14" t="s">
        <v>56</v>
      </c>
      <c r="B32" s="17" t="s">
        <v>57</v>
      </c>
      <c r="C32" s="16">
        <v>137460</v>
      </c>
      <c r="D32" s="16"/>
      <c r="E32" s="16">
        <v>132928</v>
      </c>
      <c r="F32" s="16">
        <v>330339</v>
      </c>
      <c r="G32" s="16">
        <v>111750</v>
      </c>
      <c r="H32" s="16">
        <v>245490</v>
      </c>
      <c r="I32" s="16">
        <v>173294</v>
      </c>
      <c r="J32" s="16">
        <v>614282</v>
      </c>
      <c r="K32" s="16">
        <f t="shared" si="4"/>
        <v>1745543</v>
      </c>
    </row>
    <row r="33" spans="1:11" s="10" customFormat="1" ht="31.5" x14ac:dyDescent="0.25">
      <c r="A33" s="14" t="s">
        <v>58</v>
      </c>
      <c r="B33" s="17" t="s">
        <v>67</v>
      </c>
      <c r="C33" s="16"/>
      <c r="D33" s="16"/>
      <c r="E33" s="16"/>
      <c r="F33" s="16"/>
      <c r="G33" s="16"/>
      <c r="H33" s="16"/>
      <c r="I33" s="16">
        <v>5250</v>
      </c>
      <c r="J33" s="16"/>
      <c r="K33" s="16">
        <f t="shared" si="4"/>
        <v>5250</v>
      </c>
    </row>
    <row r="34" spans="1:11" s="10" customFormat="1" x14ac:dyDescent="0.25">
      <c r="A34" s="14" t="s">
        <v>72</v>
      </c>
      <c r="B34" s="17" t="s">
        <v>59</v>
      </c>
      <c r="C34" s="16"/>
      <c r="D34" s="16"/>
      <c r="E34" s="16">
        <v>415453</v>
      </c>
      <c r="F34" s="16">
        <v>359705</v>
      </c>
      <c r="G34" s="16">
        <v>825911</v>
      </c>
      <c r="H34" s="16">
        <v>174095</v>
      </c>
      <c r="I34" s="16">
        <v>69477</v>
      </c>
      <c r="J34" s="16">
        <v>17501</v>
      </c>
      <c r="K34" s="16">
        <f t="shared" si="4"/>
        <v>1862142</v>
      </c>
    </row>
    <row r="35" spans="1:11" s="10" customFormat="1" x14ac:dyDescent="0.25">
      <c r="A35" s="14" t="s">
        <v>73</v>
      </c>
      <c r="B35" s="17" t="s">
        <v>60</v>
      </c>
      <c r="C35" s="16"/>
      <c r="D35" s="16"/>
      <c r="E35" s="16">
        <v>571212</v>
      </c>
      <c r="F35" s="16">
        <v>556808</v>
      </c>
      <c r="G35" s="16">
        <v>1052934</v>
      </c>
      <c r="H35" s="16">
        <v>200566</v>
      </c>
      <c r="I35" s="16">
        <v>50895</v>
      </c>
      <c r="J35" s="16">
        <v>54770</v>
      </c>
      <c r="K35" s="16">
        <f t="shared" si="4"/>
        <v>2487185</v>
      </c>
    </row>
    <row r="36" spans="1:11" s="10" customFormat="1" x14ac:dyDescent="0.25">
      <c r="A36" s="14" t="s">
        <v>75</v>
      </c>
      <c r="B36" s="17" t="s">
        <v>61</v>
      </c>
      <c r="C36" s="16">
        <v>6240</v>
      </c>
      <c r="D36" s="16">
        <v>2131627</v>
      </c>
      <c r="E36" s="16">
        <v>1106431</v>
      </c>
      <c r="F36" s="16">
        <v>1669986</v>
      </c>
      <c r="G36" s="16">
        <v>1118598</v>
      </c>
      <c r="H36" s="16">
        <v>369783</v>
      </c>
      <c r="I36" s="16">
        <v>224539</v>
      </c>
      <c r="J36" s="16">
        <v>246510</v>
      </c>
      <c r="K36" s="16">
        <f t="shared" si="4"/>
        <v>6873714</v>
      </c>
    </row>
    <row r="37" spans="1:11" s="10" customFormat="1" x14ac:dyDescent="0.25">
      <c r="A37" s="14" t="s">
        <v>76</v>
      </c>
      <c r="B37" s="17" t="s">
        <v>62</v>
      </c>
      <c r="C37" s="16">
        <v>5683534</v>
      </c>
      <c r="D37" s="16">
        <v>44226</v>
      </c>
      <c r="E37" s="16">
        <v>1763116</v>
      </c>
      <c r="F37" s="16">
        <v>715237</v>
      </c>
      <c r="G37" s="16">
        <v>644372</v>
      </c>
      <c r="H37" s="16">
        <v>657212</v>
      </c>
      <c r="I37" s="16">
        <v>180730</v>
      </c>
      <c r="J37" s="16">
        <v>875183</v>
      </c>
      <c r="K37" s="16">
        <f t="shared" si="4"/>
        <v>10563610</v>
      </c>
    </row>
    <row r="38" spans="1:11" s="10" customFormat="1" ht="47.25" x14ac:dyDescent="0.25">
      <c r="A38" s="14" t="s">
        <v>77</v>
      </c>
      <c r="B38" s="17" t="s">
        <v>63</v>
      </c>
      <c r="C38" s="16">
        <v>4612719</v>
      </c>
      <c r="D38" s="16">
        <f>105135-1</f>
        <v>105134</v>
      </c>
      <c r="E38" s="16">
        <f>49223-1</f>
        <v>49222</v>
      </c>
      <c r="F38" s="16">
        <v>1064551</v>
      </c>
      <c r="G38" s="16">
        <f>1843709-1</f>
        <v>1843708</v>
      </c>
      <c r="H38" s="16"/>
      <c r="I38" s="16">
        <f>1-1</f>
        <v>0</v>
      </c>
      <c r="J38" s="16">
        <v>1006439</v>
      </c>
      <c r="K38" s="16">
        <f>SUM(C38:J38)</f>
        <v>8681773</v>
      </c>
    </row>
    <row r="39" spans="1:11" s="10" customFormat="1" ht="220.5" x14ac:dyDescent="0.25">
      <c r="A39" s="14" t="s">
        <v>78</v>
      </c>
      <c r="B39" s="18" t="s">
        <v>64</v>
      </c>
      <c r="C39" s="16"/>
      <c r="D39" s="16"/>
      <c r="E39" s="16">
        <v>341944</v>
      </c>
      <c r="F39" s="16">
        <v>2170363</v>
      </c>
      <c r="G39" s="16">
        <v>759186</v>
      </c>
      <c r="H39" s="16">
        <v>909942</v>
      </c>
      <c r="I39" s="16">
        <v>31770</v>
      </c>
      <c r="J39" s="16"/>
      <c r="K39" s="16">
        <v>4213205</v>
      </c>
    </row>
    <row r="40" spans="1:11" s="10" customFormat="1" ht="7.5" customHeight="1" x14ac:dyDescent="0.25">
      <c r="A40" s="14"/>
      <c r="B40" s="18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10" customFormat="1" x14ac:dyDescent="0.25">
      <c r="A41" s="19" t="s">
        <v>15</v>
      </c>
      <c r="B41" s="20" t="s">
        <v>12</v>
      </c>
      <c r="C41" s="21">
        <f>C42+C47</f>
        <v>421588408</v>
      </c>
      <c r="D41" s="21">
        <f>D42+D47</f>
        <v>32408788</v>
      </c>
      <c r="E41" s="21">
        <f>E42+E47</f>
        <v>188284776</v>
      </c>
      <c r="F41" s="21">
        <f t="shared" ref="F41:J41" si="5">F42+F47</f>
        <v>149353652</v>
      </c>
      <c r="G41" s="21">
        <f t="shared" si="5"/>
        <v>72372701</v>
      </c>
      <c r="H41" s="21">
        <f t="shared" si="5"/>
        <v>119579396</v>
      </c>
      <c r="I41" s="21">
        <f t="shared" si="5"/>
        <v>81285976</v>
      </c>
      <c r="J41" s="21">
        <f t="shared" si="5"/>
        <v>37284180</v>
      </c>
      <c r="K41" s="22">
        <f>SUM(C41:J41)</f>
        <v>1102157877</v>
      </c>
    </row>
    <row r="42" spans="1:11" s="10" customFormat="1" x14ac:dyDescent="0.25">
      <c r="A42" s="23" t="s">
        <v>21</v>
      </c>
      <c r="B42" s="24" t="s">
        <v>29</v>
      </c>
      <c r="C42" s="25">
        <f>56727717+752490+34300417</f>
        <v>91780624</v>
      </c>
      <c r="D42" s="25">
        <f>12525992-3276482</f>
        <v>9249510</v>
      </c>
      <c r="E42" s="25">
        <v>34611462</v>
      </c>
      <c r="F42" s="25">
        <f>24517427-750387</f>
        <v>23767040</v>
      </c>
      <c r="G42" s="25">
        <v>10609937</v>
      </c>
      <c r="H42" s="25">
        <f>20446434+156562</f>
        <v>20602996</v>
      </c>
      <c r="I42" s="25">
        <v>16976753</v>
      </c>
      <c r="J42" s="25">
        <f>7673779-148826</f>
        <v>7524953</v>
      </c>
      <c r="K42" s="26">
        <f t="shared" ref="K42:K47" si="6">SUM(C42:J42)</f>
        <v>215123275</v>
      </c>
    </row>
    <row r="43" spans="1:11" s="10" customFormat="1" ht="31.5" x14ac:dyDescent="0.25">
      <c r="A43" s="27" t="s">
        <v>100</v>
      </c>
      <c r="B43" s="28" t="s">
        <v>24</v>
      </c>
      <c r="C43" s="29">
        <v>5411348</v>
      </c>
      <c r="D43" s="29">
        <v>2685218</v>
      </c>
      <c r="E43" s="29">
        <v>1882650</v>
      </c>
      <c r="F43" s="29">
        <v>3049144</v>
      </c>
      <c r="G43" s="29">
        <v>923275</v>
      </c>
      <c r="H43" s="29">
        <v>1837753</v>
      </c>
      <c r="I43" s="29">
        <v>818085</v>
      </c>
      <c r="J43" s="29">
        <v>412164</v>
      </c>
      <c r="K43" s="26">
        <f t="shared" si="6"/>
        <v>17019637</v>
      </c>
    </row>
    <row r="44" spans="1:11" s="10" customFormat="1" ht="31.5" x14ac:dyDescent="0.25">
      <c r="A44" s="27" t="s">
        <v>101</v>
      </c>
      <c r="B44" s="28" t="s">
        <v>25</v>
      </c>
      <c r="C44" s="29">
        <f>24759545+752490</f>
        <v>25512035</v>
      </c>
      <c r="D44" s="29">
        <v>784523</v>
      </c>
      <c r="E44" s="29">
        <v>19529028</v>
      </c>
      <c r="F44" s="29">
        <v>7781821</v>
      </c>
      <c r="G44" s="29">
        <v>4322704</v>
      </c>
      <c r="H44" s="29">
        <v>7325927</v>
      </c>
      <c r="I44" s="29">
        <v>6110394</v>
      </c>
      <c r="J44" s="29">
        <v>2539261</v>
      </c>
      <c r="K44" s="26">
        <f t="shared" si="6"/>
        <v>73905693</v>
      </c>
    </row>
    <row r="45" spans="1:11" s="10" customFormat="1" ht="31.5" x14ac:dyDescent="0.25">
      <c r="A45" s="27" t="s">
        <v>102</v>
      </c>
      <c r="B45" s="28" t="s">
        <v>32</v>
      </c>
      <c r="C45" s="29">
        <v>5241403</v>
      </c>
      <c r="D45" s="29">
        <v>339648</v>
      </c>
      <c r="E45" s="29">
        <v>3452719</v>
      </c>
      <c r="F45" s="29">
        <v>2886838</v>
      </c>
      <c r="G45" s="29">
        <v>1335597</v>
      </c>
      <c r="H45" s="29">
        <v>3169107</v>
      </c>
      <c r="I45" s="29">
        <v>1262949</v>
      </c>
      <c r="J45" s="29">
        <v>985083</v>
      </c>
      <c r="K45" s="26">
        <f t="shared" si="6"/>
        <v>18673344</v>
      </c>
    </row>
    <row r="46" spans="1:11" s="10" customFormat="1" ht="47.25" x14ac:dyDescent="0.25">
      <c r="A46" s="27" t="s">
        <v>103</v>
      </c>
      <c r="B46" s="28" t="s">
        <v>33</v>
      </c>
      <c r="C46" s="29">
        <f>19486497-699583</f>
        <v>18786914</v>
      </c>
      <c r="D46" s="29">
        <f>8716603-3276482</f>
        <v>5440121</v>
      </c>
      <c r="E46" s="29">
        <f>7804471</f>
        <v>7804471</v>
      </c>
      <c r="F46" s="29">
        <f>7478840-750387</f>
        <v>6728453</v>
      </c>
      <c r="G46" s="29">
        <v>3125891</v>
      </c>
      <c r="H46" s="29">
        <v>5953696</v>
      </c>
      <c r="I46" s="29">
        <v>2776981</v>
      </c>
      <c r="J46" s="29">
        <f>1472067-148826</f>
        <v>1323241</v>
      </c>
      <c r="K46" s="26">
        <f t="shared" si="6"/>
        <v>51939768</v>
      </c>
    </row>
    <row r="47" spans="1:11" s="43" customFormat="1" x14ac:dyDescent="0.25">
      <c r="A47" s="63" t="s">
        <v>20</v>
      </c>
      <c r="B47" s="64" t="s">
        <v>28</v>
      </c>
      <c r="C47" s="65">
        <f>436217983-101081715-5328484</f>
        <v>329807784</v>
      </c>
      <c r="D47" s="65">
        <f>36026060-9350309-3516473</f>
        <v>23159278</v>
      </c>
      <c r="E47" s="65">
        <f>161790902-8117588</f>
        <v>153673314</v>
      </c>
      <c r="F47" s="65">
        <f>160980282-35393670</f>
        <v>125586612</v>
      </c>
      <c r="G47" s="65">
        <f>63302354-1539590</f>
        <v>61762764</v>
      </c>
      <c r="H47" s="65">
        <f>99225867-249467</f>
        <v>98976400</v>
      </c>
      <c r="I47" s="65">
        <f>67750580-3441357</f>
        <v>64309223</v>
      </c>
      <c r="J47" s="65">
        <f>32907647-3148420</f>
        <v>29759227</v>
      </c>
      <c r="K47" s="42">
        <f t="shared" si="6"/>
        <v>887034602</v>
      </c>
    </row>
    <row r="48" spans="1:11" s="10" customFormat="1" ht="12" customHeight="1" x14ac:dyDescent="0.25">
      <c r="A48" s="23"/>
      <c r="B48" s="24"/>
      <c r="C48" s="25"/>
      <c r="D48" s="25"/>
      <c r="E48" s="25"/>
      <c r="F48" s="25"/>
      <c r="G48" s="25"/>
      <c r="H48" s="25"/>
      <c r="I48" s="25"/>
      <c r="J48" s="25"/>
      <c r="K48" s="26"/>
    </row>
    <row r="49" spans="1:11" s="10" customFormat="1" x14ac:dyDescent="0.25">
      <c r="A49" s="19" t="s">
        <v>16</v>
      </c>
      <c r="B49" s="20" t="s">
        <v>30</v>
      </c>
      <c r="C49" s="22">
        <f>C51+C52</f>
        <v>524500714</v>
      </c>
      <c r="D49" s="22">
        <f>D51+D52</f>
        <v>45253579</v>
      </c>
      <c r="E49" s="22">
        <f t="shared" ref="E49:J49" si="7">E51+E52</f>
        <v>350322461</v>
      </c>
      <c r="F49" s="22">
        <f t="shared" si="7"/>
        <v>301033590</v>
      </c>
      <c r="G49" s="22">
        <f t="shared" si="7"/>
        <v>153841226</v>
      </c>
      <c r="H49" s="22">
        <f t="shared" si="7"/>
        <v>268184383</v>
      </c>
      <c r="I49" s="22">
        <f t="shared" si="7"/>
        <v>160072662</v>
      </c>
      <c r="J49" s="22">
        <f t="shared" si="7"/>
        <v>93938638</v>
      </c>
      <c r="K49" s="22">
        <f>SUM(C49:J49)</f>
        <v>1897147253</v>
      </c>
    </row>
    <row r="50" spans="1:11" s="43" customFormat="1" x14ac:dyDescent="0.25">
      <c r="A50" s="40" t="s">
        <v>79</v>
      </c>
      <c r="B50" s="41" t="s">
        <v>37</v>
      </c>
      <c r="C50" s="42">
        <f>15124169+7282182</f>
        <v>22406351</v>
      </c>
      <c r="D50" s="42">
        <f>1297711+1505786</f>
        <v>2803497</v>
      </c>
      <c r="E50" s="42">
        <f>12201986+6152975+85148</f>
        <v>18440109</v>
      </c>
      <c r="F50" s="42">
        <f>12811489+6625565</f>
        <v>19437054</v>
      </c>
      <c r="G50" s="42">
        <f>4968635+2431300</f>
        <v>7399935</v>
      </c>
      <c r="H50" s="42">
        <f>7116869+4983376</f>
        <v>12100245</v>
      </c>
      <c r="I50" s="42">
        <f>4500356+3601946</f>
        <v>8102302</v>
      </c>
      <c r="J50" s="42">
        <f>3331334+1978781</f>
        <v>5310115</v>
      </c>
      <c r="K50" s="42">
        <f>SUM(C50:J50)</f>
        <v>95999608</v>
      </c>
    </row>
    <row r="51" spans="1:11" s="62" customFormat="1" x14ac:dyDescent="0.25">
      <c r="A51" s="66" t="s">
        <v>80</v>
      </c>
      <c r="B51" s="60" t="s">
        <v>31</v>
      </c>
      <c r="C51" s="61">
        <f>71483520+19253666+C71+C72</f>
        <v>98317341</v>
      </c>
      <c r="D51" s="61">
        <f>14617381-7049317+D71+D72</f>
        <v>8280674</v>
      </c>
      <c r="E51" s="61">
        <f>38726783-8528294+E71+E72</f>
        <v>32821262</v>
      </c>
      <c r="F51" s="61">
        <f>29256494-7241651+F71+F72</f>
        <v>22829503</v>
      </c>
      <c r="G51" s="61">
        <f>15871214-864156+G71+G72</f>
        <v>15433285</v>
      </c>
      <c r="H51" s="61">
        <f>23392323-5765882+H71+H72</f>
        <v>20163825</v>
      </c>
      <c r="I51" s="61">
        <f>17673977-2971601+I71+I72</f>
        <v>15108116</v>
      </c>
      <c r="J51" s="61">
        <f>10804210-1653789+J71+J72</f>
        <v>12108423</v>
      </c>
      <c r="K51" s="61">
        <f>SUM(C51:J51)</f>
        <v>225062429</v>
      </c>
    </row>
    <row r="52" spans="1:11" s="10" customFormat="1" ht="31.5" x14ac:dyDescent="0.25">
      <c r="A52" s="30" t="s">
        <v>81</v>
      </c>
      <c r="B52" s="24" t="s">
        <v>34</v>
      </c>
      <c r="C52" s="26">
        <f>C53+C55</f>
        <v>426183373</v>
      </c>
      <c r="D52" s="26">
        <f t="shared" ref="D52" si="8">D53+D55</f>
        <v>36972905</v>
      </c>
      <c r="E52" s="26">
        <f>E53+E55</f>
        <v>317501199</v>
      </c>
      <c r="F52" s="26">
        <f>F53+F55</f>
        <v>278204087</v>
      </c>
      <c r="G52" s="26">
        <f t="shared" ref="G52:I52" si="9">G53+G55</f>
        <v>138407941</v>
      </c>
      <c r="H52" s="26">
        <f t="shared" si="9"/>
        <v>248020558</v>
      </c>
      <c r="I52" s="26">
        <f t="shared" si="9"/>
        <v>144964546</v>
      </c>
      <c r="J52" s="26">
        <f>J53+J55</f>
        <v>81830215</v>
      </c>
      <c r="K52" s="26">
        <f>SUM(C52:J52)</f>
        <v>1672084824</v>
      </c>
    </row>
    <row r="53" spans="1:11" s="10" customFormat="1" x14ac:dyDescent="0.25">
      <c r="A53" s="30" t="s">
        <v>82</v>
      </c>
      <c r="B53" s="31" t="s">
        <v>35</v>
      </c>
      <c r="C53" s="32">
        <f>373350290+1472621-10000000</f>
        <v>364822911</v>
      </c>
      <c r="D53" s="32">
        <f>31904861+217088</f>
        <v>32121949</v>
      </c>
      <c r="E53" s="32">
        <f>262699773+1478588</f>
        <v>264178361</v>
      </c>
      <c r="F53" s="32">
        <f>244860720+1330788</f>
        <v>246191508</v>
      </c>
      <c r="G53" s="32">
        <f>124822266+583275+45147</f>
        <v>125450688</v>
      </c>
      <c r="H53" s="32">
        <f>218493289+781578+45147</f>
        <v>219320014</v>
      </c>
      <c r="I53" s="32">
        <f>127902730+886425</f>
        <v>128789155</v>
      </c>
      <c r="J53" s="32">
        <f>71744614+612292+45147+140199</f>
        <v>72542252</v>
      </c>
      <c r="K53" s="26">
        <f t="shared" ref="K53:K55" si="10">SUM(C53:J53)</f>
        <v>1453416838</v>
      </c>
    </row>
    <row r="54" spans="1:11" s="37" customFormat="1" ht="31.5" x14ac:dyDescent="0.25">
      <c r="A54" s="33" t="s">
        <v>104</v>
      </c>
      <c r="B54" s="34" t="s">
        <v>22</v>
      </c>
      <c r="C54" s="35">
        <v>5649945</v>
      </c>
      <c r="D54" s="35">
        <v>632693</v>
      </c>
      <c r="E54" s="35">
        <v>3452961</v>
      </c>
      <c r="F54" s="35">
        <v>1340054</v>
      </c>
      <c r="G54" s="35">
        <v>441779</v>
      </c>
      <c r="H54" s="35"/>
      <c r="I54" s="35">
        <v>200000</v>
      </c>
      <c r="J54" s="35"/>
      <c r="K54" s="36">
        <f t="shared" si="10"/>
        <v>11717432</v>
      </c>
    </row>
    <row r="55" spans="1:11" s="10" customFormat="1" x14ac:dyDescent="0.25">
      <c r="A55" s="30" t="s">
        <v>83</v>
      </c>
      <c r="B55" s="31" t="s">
        <v>105</v>
      </c>
      <c r="C55" s="32">
        <f>61395072-34610</f>
        <v>61360462</v>
      </c>
      <c r="D55" s="32">
        <f>3904111+946845</f>
        <v>4850956</v>
      </c>
      <c r="E55" s="32">
        <f>52287464+1035374</f>
        <v>53322838</v>
      </c>
      <c r="F55" s="32">
        <f>30515153+1497426</f>
        <v>32012579</v>
      </c>
      <c r="G55" s="32">
        <f>12927657+29596</f>
        <v>12957253</v>
      </c>
      <c r="H55" s="32">
        <f>28976790-276246</f>
        <v>28700544</v>
      </c>
      <c r="I55" s="32">
        <f>15412491+762900</f>
        <v>16175391</v>
      </c>
      <c r="J55" s="32">
        <f>9073458+214505</f>
        <v>9287963</v>
      </c>
      <c r="K55" s="26">
        <f t="shared" si="10"/>
        <v>218667986</v>
      </c>
    </row>
    <row r="56" spans="1:11" s="37" customFormat="1" ht="6.75" customHeight="1" x14ac:dyDescent="0.25">
      <c r="A56" s="33"/>
      <c r="B56" s="38"/>
      <c r="C56" s="39"/>
      <c r="D56" s="39"/>
      <c r="E56" s="39"/>
      <c r="F56" s="39"/>
      <c r="G56" s="39"/>
      <c r="H56" s="39"/>
      <c r="I56" s="39"/>
      <c r="J56" s="39"/>
      <c r="K56" s="36"/>
    </row>
    <row r="57" spans="1:11" s="37" customFormat="1" ht="31.5" x14ac:dyDescent="0.25">
      <c r="A57" s="19" t="s">
        <v>17</v>
      </c>
      <c r="B57" s="20" t="s">
        <v>106</v>
      </c>
      <c r="C57" s="22">
        <v>75000000</v>
      </c>
      <c r="D57" s="22"/>
      <c r="E57" s="22"/>
      <c r="F57" s="22"/>
      <c r="G57" s="22"/>
      <c r="H57" s="22"/>
      <c r="I57" s="22"/>
      <c r="J57" s="22"/>
      <c r="K57" s="22">
        <f t="shared" ref="K57" si="11">SUM(C57:J57)</f>
        <v>75000000</v>
      </c>
    </row>
    <row r="58" spans="1:11" s="67" customFormat="1" ht="6" customHeight="1" x14ac:dyDescent="0.25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</row>
    <row r="59" spans="1:11" s="37" customFormat="1" ht="31.5" x14ac:dyDescent="0.25">
      <c r="A59" s="19" t="s">
        <v>18</v>
      </c>
      <c r="B59" s="20" t="s">
        <v>107</v>
      </c>
      <c r="C59" s="22">
        <f>32300877</f>
        <v>32300877</v>
      </c>
      <c r="D59" s="22">
        <v>14969939</v>
      </c>
      <c r="E59" s="22">
        <v>8431930</v>
      </c>
      <c r="F59" s="22">
        <v>17461541</v>
      </c>
      <c r="G59" s="22">
        <v>6571011</v>
      </c>
      <c r="H59" s="22">
        <v>8517223</v>
      </c>
      <c r="I59" s="22">
        <v>3304386</v>
      </c>
      <c r="J59" s="22">
        <v>3130517</v>
      </c>
      <c r="K59" s="22">
        <f t="shared" ref="K59" si="12">SUM(C59:J59)</f>
        <v>94687424</v>
      </c>
    </row>
    <row r="60" spans="1:11" s="37" customFormat="1" ht="8.25" customHeight="1" x14ac:dyDescent="0.25">
      <c r="A60" s="33"/>
      <c r="B60" s="38"/>
      <c r="C60" s="39"/>
      <c r="D60" s="39"/>
      <c r="E60" s="39"/>
      <c r="F60" s="39"/>
      <c r="G60" s="39"/>
      <c r="H60" s="39"/>
      <c r="I60" s="39"/>
      <c r="J60" s="39"/>
      <c r="K60" s="36"/>
    </row>
    <row r="61" spans="1:11" s="10" customFormat="1" x14ac:dyDescent="0.25">
      <c r="A61" s="19" t="s">
        <v>84</v>
      </c>
      <c r="B61" s="20" t="s">
        <v>11</v>
      </c>
      <c r="C61" s="22">
        <f>C57+C59+C49-C41</f>
        <v>210213183</v>
      </c>
      <c r="D61" s="22">
        <f t="shared" ref="D61:J61" si="13">D57+D59+D49-D41</f>
        <v>27814730</v>
      </c>
      <c r="E61" s="22">
        <f t="shared" si="13"/>
        <v>170469615</v>
      </c>
      <c r="F61" s="22">
        <f t="shared" si="13"/>
        <v>169141479</v>
      </c>
      <c r="G61" s="22">
        <f t="shared" si="13"/>
        <v>88039536</v>
      </c>
      <c r="H61" s="22">
        <f t="shared" si="13"/>
        <v>157122210</v>
      </c>
      <c r="I61" s="22">
        <f t="shared" si="13"/>
        <v>82091072</v>
      </c>
      <c r="J61" s="22">
        <f t="shared" si="13"/>
        <v>59784975</v>
      </c>
      <c r="K61" s="22">
        <f>SUM(C61:J61)</f>
        <v>964676800</v>
      </c>
    </row>
    <row r="62" spans="1:11" s="43" customFormat="1" ht="6.75" customHeight="1" x14ac:dyDescent="0.25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</row>
    <row r="63" spans="1:11" s="44" customFormat="1" ht="31.5" x14ac:dyDescent="0.25">
      <c r="A63" s="19" t="s">
        <v>85</v>
      </c>
      <c r="B63" s="20" t="s">
        <v>13</v>
      </c>
      <c r="C63" s="22">
        <f>C64+C65+C68+C69+C70+C71+C72</f>
        <v>210213183</v>
      </c>
      <c r="D63" s="22">
        <f t="shared" ref="D63:J63" si="14">D64+D65+D68+D69+D70+D71+D72</f>
        <v>27814730</v>
      </c>
      <c r="E63" s="22">
        <f t="shared" si="14"/>
        <v>170469615</v>
      </c>
      <c r="F63" s="22">
        <f t="shared" si="14"/>
        <v>169141479</v>
      </c>
      <c r="G63" s="22">
        <f t="shared" si="14"/>
        <v>88039536</v>
      </c>
      <c r="H63" s="22">
        <f t="shared" si="14"/>
        <v>157122210</v>
      </c>
      <c r="I63" s="22">
        <f t="shared" si="14"/>
        <v>82091072</v>
      </c>
      <c r="J63" s="22">
        <f t="shared" si="14"/>
        <v>59784975</v>
      </c>
      <c r="K63" s="22">
        <f>SUM(C63:J63)</f>
        <v>964676800</v>
      </c>
    </row>
    <row r="64" spans="1:11" s="10" customFormat="1" ht="31.5" x14ac:dyDescent="0.25">
      <c r="A64" s="45" t="s">
        <v>86</v>
      </c>
      <c r="B64" s="31" t="s">
        <v>36</v>
      </c>
      <c r="C64" s="32">
        <f>0+88021429</f>
        <v>88021429</v>
      </c>
      <c r="D64" s="32">
        <f>0+9813410</f>
        <v>9813410</v>
      </c>
      <c r="E64" s="32">
        <f>152325541+2066370</f>
        <v>154391911</v>
      </c>
      <c r="F64" s="32">
        <f>91830694+40519794</f>
        <v>132350488</v>
      </c>
      <c r="G64" s="32">
        <f>66453452+255607</f>
        <v>66709059</v>
      </c>
      <c r="H64" s="32">
        <f>146524426-3676580</f>
        <v>142847846</v>
      </c>
      <c r="I64" s="32">
        <f>70459293+1795365</f>
        <v>72254658</v>
      </c>
      <c r="J64" s="32">
        <f>45750410+3362925</f>
        <v>49113335</v>
      </c>
      <c r="K64" s="32">
        <f t="shared" ref="K64:K65" si="15">SUM(C64:J64)</f>
        <v>715502136</v>
      </c>
    </row>
    <row r="65" spans="1:12" s="44" customFormat="1" x14ac:dyDescent="0.25">
      <c r="A65" s="45" t="s">
        <v>108</v>
      </c>
      <c r="B65" s="31" t="s">
        <v>94</v>
      </c>
      <c r="C65" s="16">
        <f>C66+C67</f>
        <v>105085028</v>
      </c>
      <c r="D65" s="16">
        <f>D66+D67</f>
        <v>11441698</v>
      </c>
      <c r="E65" s="16">
        <f t="shared" ref="E65:J65" si="16">E66+E67</f>
        <v>6464703</v>
      </c>
      <c r="F65" s="16">
        <f t="shared" si="16"/>
        <v>28634752</v>
      </c>
      <c r="G65" s="16">
        <f t="shared" si="16"/>
        <v>13883816</v>
      </c>
      <c r="H65" s="16">
        <f t="shared" si="16"/>
        <v>5492400</v>
      </c>
      <c r="I65" s="16">
        <f t="shared" si="16"/>
        <v>6688997</v>
      </c>
      <c r="J65" s="16">
        <f t="shared" si="16"/>
        <v>6088084</v>
      </c>
      <c r="K65" s="16">
        <f t="shared" si="15"/>
        <v>183779478</v>
      </c>
    </row>
    <row r="66" spans="1:12" s="10" customFormat="1" x14ac:dyDescent="0.25">
      <c r="A66" s="14" t="s">
        <v>109</v>
      </c>
      <c r="B66" s="15" t="s">
        <v>65</v>
      </c>
      <c r="C66" s="16">
        <f t="shared" ref="C66:J66" si="17">C21</f>
        <v>83354160</v>
      </c>
      <c r="D66" s="16">
        <f t="shared" si="17"/>
        <v>1980904</v>
      </c>
      <c r="E66" s="16">
        <f t="shared" si="17"/>
        <v>213707</v>
      </c>
      <c r="F66" s="16">
        <f t="shared" si="17"/>
        <v>15917310</v>
      </c>
      <c r="G66" s="16">
        <f t="shared" si="17"/>
        <v>4854094</v>
      </c>
      <c r="H66" s="16">
        <f t="shared" si="17"/>
        <v>1230308</v>
      </c>
      <c r="I66" s="16">
        <f t="shared" si="17"/>
        <v>2475050</v>
      </c>
      <c r="J66" s="16">
        <f t="shared" si="17"/>
        <v>1557938</v>
      </c>
      <c r="K66" s="16">
        <f>SUM(C66:J66)</f>
        <v>111583471</v>
      </c>
    </row>
    <row r="67" spans="1:12" s="10" customFormat="1" ht="110.25" x14ac:dyDescent="0.25">
      <c r="A67" s="14" t="s">
        <v>110</v>
      </c>
      <c r="B67" s="15" t="s">
        <v>90</v>
      </c>
      <c r="C67" s="16">
        <f>C22</f>
        <v>21730868</v>
      </c>
      <c r="D67" s="16">
        <f t="shared" ref="D67:J67" si="18">D22</f>
        <v>9460794</v>
      </c>
      <c r="E67" s="16">
        <f t="shared" si="18"/>
        <v>6250996</v>
      </c>
      <c r="F67" s="16">
        <f t="shared" si="18"/>
        <v>12717442</v>
      </c>
      <c r="G67" s="16">
        <f t="shared" si="18"/>
        <v>9029722</v>
      </c>
      <c r="H67" s="16">
        <f t="shared" si="18"/>
        <v>4262092</v>
      </c>
      <c r="I67" s="16">
        <f t="shared" si="18"/>
        <v>4213947</v>
      </c>
      <c r="J67" s="16">
        <f t="shared" si="18"/>
        <v>4530146</v>
      </c>
      <c r="K67" s="16">
        <f>SUM(C67:J67)</f>
        <v>72196007</v>
      </c>
    </row>
    <row r="68" spans="1:12" s="10" customFormat="1" ht="63" x14ac:dyDescent="0.25">
      <c r="A68" s="14" t="s">
        <v>87</v>
      </c>
      <c r="B68" s="15" t="s">
        <v>113</v>
      </c>
      <c r="C68" s="16">
        <v>9526571</v>
      </c>
      <c r="D68" s="16">
        <v>5847012</v>
      </c>
      <c r="E68" s="16">
        <v>6988088</v>
      </c>
      <c r="F68" s="16">
        <v>7341579</v>
      </c>
      <c r="G68" s="16">
        <v>6273434</v>
      </c>
      <c r="H68" s="16">
        <v>5977034</v>
      </c>
      <c r="I68" s="16">
        <v>2741677</v>
      </c>
      <c r="J68" s="16">
        <v>1625554</v>
      </c>
      <c r="K68" s="16">
        <f t="shared" ref="K68:K72" si="19">SUM(C68:J68)</f>
        <v>46320949</v>
      </c>
    </row>
    <row r="69" spans="1:12" s="10" customFormat="1" ht="63" x14ac:dyDescent="0.25">
      <c r="A69" s="14" t="s">
        <v>88</v>
      </c>
      <c r="B69" s="15" t="s">
        <v>114</v>
      </c>
      <c r="C69" s="16">
        <f>0</f>
        <v>0</v>
      </c>
      <c r="D69" s="16"/>
      <c r="E69" s="16">
        <v>1860</v>
      </c>
      <c r="F69" s="16"/>
      <c r="G69" s="16">
        <v>747000</v>
      </c>
      <c r="H69" s="16">
        <v>267546</v>
      </c>
      <c r="I69" s="16"/>
      <c r="J69" s="16"/>
      <c r="K69" s="16">
        <f t="shared" si="19"/>
        <v>1016406</v>
      </c>
    </row>
    <row r="70" spans="1:12" s="10" customFormat="1" ht="88.5" customHeight="1" x14ac:dyDescent="0.25">
      <c r="A70" s="14" t="s">
        <v>91</v>
      </c>
      <c r="B70" s="15" t="s">
        <v>115</v>
      </c>
      <c r="C70" s="16">
        <f>0</f>
        <v>0</v>
      </c>
      <c r="D70" s="16"/>
      <c r="E70" s="16">
        <v>280</v>
      </c>
      <c r="F70" s="16"/>
      <c r="G70" s="16"/>
      <c r="H70" s="16"/>
      <c r="I70" s="16"/>
      <c r="J70" s="16"/>
      <c r="K70" s="16">
        <f t="shared" si="19"/>
        <v>280</v>
      </c>
    </row>
    <row r="71" spans="1:12" s="10" customFormat="1" ht="31.5" x14ac:dyDescent="0.25">
      <c r="A71" s="14" t="s">
        <v>116</v>
      </c>
      <c r="B71" s="15" t="s">
        <v>117</v>
      </c>
      <c r="C71" s="16">
        <f>3458565+2287800</f>
        <v>5746365</v>
      </c>
      <c r="D71" s="16">
        <v>550000</v>
      </c>
      <c r="E71" s="16">
        <v>1565003</v>
      </c>
      <c r="F71" s="16">
        <v>32200</v>
      </c>
      <c r="G71" s="16">
        <f>6794+33033</f>
        <v>39827</v>
      </c>
      <c r="H71" s="16">
        <f>1044490+607394</f>
        <v>1651884</v>
      </c>
      <c r="I71" s="16">
        <v>29000</v>
      </c>
      <c r="J71" s="16">
        <v>2763192</v>
      </c>
      <c r="K71" s="16">
        <f t="shared" si="19"/>
        <v>12377471</v>
      </c>
    </row>
    <row r="72" spans="1:12" s="10" customFormat="1" ht="94.5" x14ac:dyDescent="0.25">
      <c r="A72" s="14" t="s">
        <v>118</v>
      </c>
      <c r="B72" s="15" t="s">
        <v>119</v>
      </c>
      <c r="C72" s="16">
        <v>1833790</v>
      </c>
      <c r="D72" s="16">
        <v>162610</v>
      </c>
      <c r="E72" s="16">
        <v>1057770</v>
      </c>
      <c r="F72" s="16">
        <v>782460</v>
      </c>
      <c r="G72" s="16">
        <v>386400</v>
      </c>
      <c r="H72" s="16">
        <v>885500</v>
      </c>
      <c r="I72" s="16">
        <v>376740</v>
      </c>
      <c r="J72" s="16">
        <v>194810</v>
      </c>
      <c r="K72" s="16">
        <f t="shared" si="19"/>
        <v>5680080</v>
      </c>
    </row>
    <row r="73" spans="1:12" s="10" customFormat="1" ht="6" customHeight="1" x14ac:dyDescent="0.25">
      <c r="A73" s="45"/>
      <c r="B73" s="46"/>
      <c r="C73" s="47"/>
      <c r="D73" s="47"/>
      <c r="E73" s="47"/>
      <c r="F73" s="47"/>
      <c r="G73" s="47"/>
      <c r="H73" s="47"/>
      <c r="I73" s="47"/>
      <c r="J73" s="47"/>
      <c r="K73" s="47"/>
    </row>
    <row r="74" spans="1:12" s="48" customFormat="1" ht="31.5" x14ac:dyDescent="0.25">
      <c r="A74" s="19" t="s">
        <v>111</v>
      </c>
      <c r="B74" s="20" t="s">
        <v>93</v>
      </c>
      <c r="C74" s="22">
        <f>C75+C76+C77+C78+C79</f>
        <v>34673534</v>
      </c>
      <c r="D74" s="22">
        <f t="shared" ref="D74:J74" si="20">D75+D76+D77+D78+D79</f>
        <v>947855</v>
      </c>
      <c r="E74" s="22">
        <f t="shared" si="20"/>
        <v>21884770</v>
      </c>
      <c r="F74" s="22">
        <f t="shared" si="20"/>
        <v>25800938</v>
      </c>
      <c r="G74" s="22">
        <f t="shared" si="20"/>
        <v>15785956</v>
      </c>
      <c r="H74" s="22">
        <f t="shared" si="20"/>
        <v>26570917</v>
      </c>
      <c r="I74" s="22">
        <f t="shared" si="20"/>
        <v>15434505</v>
      </c>
      <c r="J74" s="22">
        <f t="shared" si="20"/>
        <v>13980542</v>
      </c>
      <c r="K74" s="22">
        <f>K75+K76+K77+K78+K79</f>
        <v>155079017</v>
      </c>
    </row>
    <row r="75" spans="1:12" s="48" customFormat="1" ht="31.5" x14ac:dyDescent="0.25">
      <c r="A75" s="45" t="s">
        <v>112</v>
      </c>
      <c r="B75" s="31" t="s">
        <v>19</v>
      </c>
      <c r="C75" s="32">
        <f>1881391-600000-264985</f>
        <v>1016406</v>
      </c>
      <c r="D75" s="32">
        <f>243150-150000-4936</f>
        <v>88214</v>
      </c>
      <c r="E75" s="32">
        <f>1107411-600000-111749</f>
        <v>395662</v>
      </c>
      <c r="F75" s="32">
        <f>908086-340000-124331</f>
        <v>443755</v>
      </c>
      <c r="G75" s="32">
        <f>536648-340000-16008</f>
        <v>180640</v>
      </c>
      <c r="H75" s="32">
        <f>721065-340000+12555</f>
        <v>393620</v>
      </c>
      <c r="I75" s="32">
        <f>560000-340000-15483</f>
        <v>204517</v>
      </c>
      <c r="J75" s="32">
        <f>446550-340000-23156</f>
        <v>83394</v>
      </c>
      <c r="K75" s="26">
        <f t="shared" ref="K75:K76" si="21">SUM(C75:J75)</f>
        <v>2806208</v>
      </c>
    </row>
    <row r="76" spans="1:12" s="48" customFormat="1" ht="31.5" x14ac:dyDescent="0.25">
      <c r="A76" s="45" t="s">
        <v>120</v>
      </c>
      <c r="B76" s="31" t="s">
        <v>23</v>
      </c>
      <c r="C76" s="32">
        <f>43016291-11884768-5404098-2579649</f>
        <v>23147776</v>
      </c>
      <c r="D76" s="32">
        <f>1437509-415986-161882</f>
        <v>859641</v>
      </c>
      <c r="E76" s="32">
        <f>29770597-4220666-4060823</f>
        <v>21489108</v>
      </c>
      <c r="F76" s="32">
        <f>43899310-12442282-6099845</f>
        <v>25357183</v>
      </c>
      <c r="G76" s="32">
        <f>31030390-11002600-4422474</f>
        <v>15605316</v>
      </c>
      <c r="H76" s="32">
        <f>47439065-16244109-5017659</f>
        <v>26177297</v>
      </c>
      <c r="I76" s="32">
        <f>28303128-9529538-3543602</f>
        <v>15229988</v>
      </c>
      <c r="J76" s="32">
        <f>24067143-8956965-1213030</f>
        <v>13897148</v>
      </c>
      <c r="K76" s="26">
        <f t="shared" si="21"/>
        <v>141763457</v>
      </c>
    </row>
    <row r="77" spans="1:12" s="48" customFormat="1" ht="31.5" x14ac:dyDescent="0.25">
      <c r="A77" s="45" t="s">
        <v>121</v>
      </c>
      <c r="B77" s="31" t="s">
        <v>89</v>
      </c>
      <c r="C77" s="32"/>
      <c r="D77" s="32"/>
      <c r="E77" s="32">
        <f>821924-821924</f>
        <v>0</v>
      </c>
      <c r="F77" s="32"/>
      <c r="G77" s="32"/>
      <c r="H77" s="32"/>
      <c r="I77" s="32"/>
      <c r="J77" s="32"/>
      <c r="K77" s="26">
        <f t="shared" ref="K77:K78" si="22">SUM(C77:J77)</f>
        <v>0</v>
      </c>
    </row>
    <row r="78" spans="1:12" s="48" customFormat="1" ht="31.5" x14ac:dyDescent="0.25">
      <c r="A78" s="49" t="s">
        <v>122</v>
      </c>
      <c r="B78" s="18" t="s">
        <v>39</v>
      </c>
      <c r="C78" s="16">
        <f>509353-1</f>
        <v>509352</v>
      </c>
      <c r="D78" s="16"/>
      <c r="E78" s="16"/>
      <c r="F78" s="16"/>
      <c r="G78" s="47"/>
      <c r="H78" s="16"/>
      <c r="I78" s="16"/>
      <c r="J78" s="16"/>
      <c r="K78" s="26">
        <f t="shared" si="22"/>
        <v>509352</v>
      </c>
    </row>
    <row r="79" spans="1:12" ht="31.5" x14ac:dyDescent="0.25">
      <c r="A79" s="49" t="s">
        <v>123</v>
      </c>
      <c r="B79" s="18" t="s">
        <v>92</v>
      </c>
      <c r="C79" s="16">
        <v>10000000</v>
      </c>
      <c r="D79" s="16"/>
      <c r="E79" s="16"/>
      <c r="F79" s="16"/>
      <c r="G79" s="47"/>
      <c r="H79" s="16"/>
      <c r="I79" s="16"/>
      <c r="J79" s="16"/>
      <c r="K79" s="26">
        <f t="shared" ref="K79" si="23">SUM(C79:J79)</f>
        <v>10000000</v>
      </c>
      <c r="L79" s="70"/>
    </row>
    <row r="80" spans="1:12" x14ac:dyDescent="0.25">
      <c r="G80" s="4"/>
    </row>
    <row r="82" spans="2:7" x14ac:dyDescent="0.25">
      <c r="G82" s="4"/>
    </row>
    <row r="83" spans="2:7" x14ac:dyDescent="0.25">
      <c r="G83" s="4"/>
    </row>
    <row r="84" spans="2:7" x14ac:dyDescent="0.25">
      <c r="B84" s="50"/>
    </row>
    <row r="85" spans="2:7" x14ac:dyDescent="0.25">
      <c r="B85" s="51"/>
    </row>
    <row r="86" spans="2:7" x14ac:dyDescent="0.25">
      <c r="B86" s="52"/>
    </row>
    <row r="90" spans="2:7" x14ac:dyDescent="0.25">
      <c r="G90" s="4"/>
    </row>
  </sheetData>
  <mergeCells count="9">
    <mergeCell ref="H9:K9"/>
    <mergeCell ref="A17:K17"/>
    <mergeCell ref="J7:K7"/>
    <mergeCell ref="H8:K8"/>
    <mergeCell ref="H10:K10"/>
    <mergeCell ref="H11:K11"/>
    <mergeCell ref="H13:K13"/>
    <mergeCell ref="G14:K14"/>
    <mergeCell ref="H15:K15"/>
  </mergeCells>
  <printOptions horizontalCentered="1"/>
  <pageMargins left="0.78740157480314965" right="0.39370078740157483" top="1.1811023622047245" bottom="0.39370078740157483" header="0" footer="0"/>
  <pageSetup paperSize="9" scale="68" firstPageNumber="83" fitToHeight="6" orientation="landscape" useFirstPageNumber="1" r:id="rId1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2025-12-30T07:55:28Z</dcterms:modified>
</cp:coreProperties>
</file>