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804C7D1-447E-4610-B567-92F45A0231A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№4 (1695)" sheetId="6" r:id="rId1"/>
  </sheets>
  <definedNames>
    <definedName name="_xlnm.Print_Titles" localSheetId="0">'Приложение №4 (1695)'!$14:$14</definedName>
    <definedName name="_xlnm.Print_Area" localSheetId="0">'Приложение №4 (1695)'!$A$1:$K$74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9" i="6" l="1"/>
  <c r="D50" i="6"/>
  <c r="O59" i="6"/>
  <c r="O50" i="6"/>
  <c r="N71" i="6" l="1"/>
  <c r="R66" i="6" l="1"/>
  <c r="N66" i="6"/>
  <c r="N46" i="6"/>
  <c r="O46" i="6" l="1"/>
  <c r="Q46" i="6"/>
  <c r="Y23" i="6"/>
  <c r="Z23" i="6"/>
  <c r="AA23" i="6"/>
  <c r="AB23" i="6"/>
  <c r="AC23" i="6"/>
  <c r="AD23" i="6"/>
  <c r="AE23" i="6"/>
  <c r="AF23" i="6"/>
  <c r="Y24" i="6"/>
  <c r="Z24" i="6"/>
  <c r="AA24" i="6"/>
  <c r="AB24" i="6"/>
  <c r="AC24" i="6"/>
  <c r="AD24" i="6"/>
  <c r="AE24" i="6"/>
  <c r="AF24" i="6"/>
  <c r="Y25" i="6"/>
  <c r="Z25" i="6"/>
  <c r="AA25" i="6"/>
  <c r="AB25" i="6"/>
  <c r="AC25" i="6"/>
  <c r="AD25" i="6"/>
  <c r="AE25" i="6"/>
  <c r="AF25" i="6"/>
  <c r="Y26" i="6"/>
  <c r="Z26" i="6"/>
  <c r="AA26" i="6"/>
  <c r="AB26" i="6"/>
  <c r="AC26" i="6"/>
  <c r="AD26" i="6"/>
  <c r="AE26" i="6"/>
  <c r="AF26" i="6"/>
  <c r="Y27" i="6"/>
  <c r="Z27" i="6"/>
  <c r="AA27" i="6"/>
  <c r="AB27" i="6"/>
  <c r="AC27" i="6"/>
  <c r="AD27" i="6"/>
  <c r="AE27" i="6"/>
  <c r="AF27" i="6"/>
  <c r="Y28" i="6"/>
  <c r="Z28" i="6"/>
  <c r="AA28" i="6"/>
  <c r="AB28" i="6"/>
  <c r="AC28" i="6"/>
  <c r="AD28" i="6"/>
  <c r="AE28" i="6"/>
  <c r="AF28" i="6"/>
  <c r="Y29" i="6"/>
  <c r="Z29" i="6"/>
  <c r="AA29" i="6"/>
  <c r="AB29" i="6"/>
  <c r="AC29" i="6"/>
  <c r="AD29" i="6"/>
  <c r="AE29" i="6"/>
  <c r="AF29" i="6"/>
  <c r="Y30" i="6"/>
  <c r="Z30" i="6"/>
  <c r="AA30" i="6"/>
  <c r="AB30" i="6"/>
  <c r="AC30" i="6"/>
  <c r="AD30" i="6"/>
  <c r="AE30" i="6"/>
  <c r="AF30" i="6"/>
  <c r="Y31" i="6"/>
  <c r="Z31" i="6"/>
  <c r="AA31" i="6"/>
  <c r="AB31" i="6"/>
  <c r="AC31" i="6"/>
  <c r="AD31" i="6"/>
  <c r="AE31" i="6"/>
  <c r="AF31" i="6"/>
  <c r="Y32" i="6"/>
  <c r="Z32" i="6"/>
  <c r="AA32" i="6"/>
  <c r="AB32" i="6"/>
  <c r="AC32" i="6"/>
  <c r="AD32" i="6"/>
  <c r="AE32" i="6"/>
  <c r="AF32" i="6"/>
  <c r="Y33" i="6"/>
  <c r="AB33" i="6"/>
  <c r="AD33" i="6"/>
  <c r="AF33" i="6"/>
  <c r="Y34" i="6"/>
  <c r="Z34" i="6"/>
  <c r="AA34" i="6"/>
  <c r="AB34" i="6"/>
  <c r="AC34" i="6"/>
  <c r="AD34" i="6"/>
  <c r="AE34" i="6"/>
  <c r="AF34" i="6"/>
  <c r="AG34" i="6"/>
  <c r="Y35" i="6"/>
  <c r="Z35" i="6"/>
  <c r="AA35" i="6"/>
  <c r="AB35" i="6"/>
  <c r="AC35" i="6"/>
  <c r="AD35" i="6"/>
  <c r="AE35" i="6"/>
  <c r="AF35" i="6"/>
  <c r="AG35" i="6"/>
  <c r="AA37" i="6"/>
  <c r="AC37" i="6"/>
  <c r="AE37" i="6"/>
  <c r="Y38" i="6"/>
  <c r="Z38" i="6"/>
  <c r="AA38" i="6"/>
  <c r="AB38" i="6"/>
  <c r="AC38" i="6"/>
  <c r="AD38" i="6"/>
  <c r="AE38" i="6"/>
  <c r="AF38" i="6"/>
  <c r="Z39" i="6"/>
  <c r="AA39" i="6"/>
  <c r="AB39" i="6"/>
  <c r="AC39" i="6"/>
  <c r="AD39" i="6"/>
  <c r="AE39" i="6"/>
  <c r="AF39" i="6"/>
  <c r="Y40" i="6"/>
  <c r="Z40" i="6"/>
  <c r="AA40" i="6"/>
  <c r="AB40" i="6"/>
  <c r="AC40" i="6"/>
  <c r="AD40" i="6"/>
  <c r="AE40" i="6"/>
  <c r="AF40" i="6"/>
  <c r="AC41" i="6"/>
  <c r="AD41" i="6"/>
  <c r="AE41" i="6"/>
  <c r="Y43" i="6"/>
  <c r="Z43" i="6"/>
  <c r="AA43" i="6"/>
  <c r="AB43" i="6"/>
  <c r="AC43" i="6"/>
  <c r="AD43" i="6"/>
  <c r="AE43" i="6"/>
  <c r="AF43" i="6"/>
  <c r="AG43" i="6"/>
  <c r="Y49" i="6"/>
  <c r="Z49" i="6"/>
  <c r="AA49" i="6"/>
  <c r="AB49" i="6"/>
  <c r="AC49" i="6"/>
  <c r="AD49" i="6"/>
  <c r="AE49" i="6"/>
  <c r="AF49" i="6"/>
  <c r="Y51" i="6"/>
  <c r="Z51" i="6"/>
  <c r="AA51" i="6"/>
  <c r="AB51" i="6"/>
  <c r="AC51" i="6"/>
  <c r="AD51" i="6"/>
  <c r="AE51" i="6"/>
  <c r="AF51" i="6"/>
  <c r="AG51" i="6"/>
  <c r="Y52" i="6"/>
  <c r="Z52" i="6"/>
  <c r="AA52" i="6"/>
  <c r="AB52" i="6"/>
  <c r="AC52" i="6"/>
  <c r="AD52" i="6"/>
  <c r="AE52" i="6"/>
  <c r="AF52" i="6"/>
  <c r="Y53" i="6"/>
  <c r="Z53" i="6"/>
  <c r="AA53" i="6"/>
  <c r="AB53" i="6"/>
  <c r="AC53" i="6"/>
  <c r="AD53" i="6"/>
  <c r="AE53" i="6"/>
  <c r="AF53" i="6"/>
  <c r="AG53" i="6"/>
  <c r="Z54" i="6"/>
  <c r="AA54" i="6"/>
  <c r="AB54" i="6"/>
  <c r="AC54" i="6"/>
  <c r="AD54" i="6"/>
  <c r="AE54" i="6"/>
  <c r="AF54" i="6"/>
  <c r="Y55" i="6"/>
  <c r="Z55" i="6"/>
  <c r="AA55" i="6"/>
  <c r="AB55" i="6"/>
  <c r="AC55" i="6"/>
  <c r="AD55" i="6"/>
  <c r="AE55" i="6"/>
  <c r="AF55" i="6"/>
  <c r="AG55" i="6"/>
  <c r="Y57" i="6"/>
  <c r="Z57" i="6"/>
  <c r="AA57" i="6"/>
  <c r="AB57" i="6"/>
  <c r="AC57" i="6"/>
  <c r="AD57" i="6"/>
  <c r="AE57" i="6"/>
  <c r="AF57" i="6"/>
  <c r="AG57" i="6"/>
  <c r="Y63" i="6"/>
  <c r="Z63" i="6"/>
  <c r="AA63" i="6"/>
  <c r="AB63" i="6"/>
  <c r="AC63" i="6"/>
  <c r="AD63" i="6"/>
  <c r="AE63" i="6"/>
  <c r="AF63" i="6"/>
  <c r="Z64" i="6"/>
  <c r="AA64" i="6"/>
  <c r="AB64" i="6"/>
  <c r="AC64" i="6"/>
  <c r="AD64" i="6"/>
  <c r="AE64" i="6"/>
  <c r="AF64" i="6"/>
  <c r="Z65" i="6"/>
  <c r="AA65" i="6"/>
  <c r="AB65" i="6"/>
  <c r="AC65" i="6"/>
  <c r="AD65" i="6"/>
  <c r="AE65" i="6"/>
  <c r="AF65" i="6"/>
  <c r="Y66" i="6"/>
  <c r="Z66" i="6"/>
  <c r="AA66" i="6"/>
  <c r="AB66" i="6"/>
  <c r="AC66" i="6"/>
  <c r="AE66" i="6"/>
  <c r="AF66" i="6"/>
  <c r="Y67" i="6"/>
  <c r="Z67" i="6"/>
  <c r="AA67" i="6"/>
  <c r="AB67" i="6"/>
  <c r="AC67" i="6"/>
  <c r="AD67" i="6"/>
  <c r="AE67" i="6"/>
  <c r="AF67" i="6"/>
  <c r="Y68" i="6"/>
  <c r="Z68" i="6"/>
  <c r="AA68" i="6"/>
  <c r="AB68" i="6"/>
  <c r="AC68" i="6"/>
  <c r="AD68" i="6"/>
  <c r="AE68" i="6"/>
  <c r="AF68" i="6"/>
  <c r="AG68" i="6"/>
  <c r="Y72" i="6"/>
  <c r="Z72" i="6"/>
  <c r="AB72" i="6"/>
  <c r="AC72" i="6"/>
  <c r="AD72" i="6"/>
  <c r="AE72" i="6"/>
  <c r="AF72" i="6"/>
  <c r="Z73" i="6"/>
  <c r="AA73" i="6"/>
  <c r="AB73" i="6"/>
  <c r="AC73" i="6"/>
  <c r="AD73" i="6"/>
  <c r="AE73" i="6"/>
  <c r="AF73" i="6"/>
  <c r="Y74" i="6"/>
  <c r="Z74" i="6"/>
  <c r="AA74" i="6"/>
  <c r="AB74" i="6"/>
  <c r="AC74" i="6"/>
  <c r="AD74" i="6"/>
  <c r="AE74" i="6"/>
  <c r="AF74" i="6"/>
  <c r="Z16" i="6"/>
  <c r="AA16" i="6"/>
  <c r="AB16" i="6"/>
  <c r="AC16" i="6"/>
  <c r="AD16" i="6"/>
  <c r="AE16" i="6"/>
  <c r="AF16" i="6"/>
  <c r="Z19" i="6"/>
  <c r="AA19" i="6"/>
  <c r="AB19" i="6"/>
  <c r="AC19" i="6"/>
  <c r="AD19" i="6"/>
  <c r="AE19" i="6"/>
  <c r="AF19" i="6"/>
  <c r="Z20" i="6"/>
  <c r="AA20" i="6"/>
  <c r="AB20" i="6"/>
  <c r="AC20" i="6"/>
  <c r="AD20" i="6"/>
  <c r="AE20" i="6"/>
  <c r="AF20" i="6"/>
  <c r="Z21" i="6"/>
  <c r="AA21" i="6"/>
  <c r="AB21" i="6"/>
  <c r="AC21" i="6"/>
  <c r="AD21" i="6"/>
  <c r="AE21" i="6"/>
  <c r="AF21" i="6"/>
  <c r="Z22" i="6"/>
  <c r="AA22" i="6"/>
  <c r="AB22" i="6"/>
  <c r="AC22" i="6"/>
  <c r="AD22" i="6"/>
  <c r="AE22" i="6"/>
  <c r="AF22" i="6"/>
  <c r="Y21" i="6"/>
  <c r="Y22" i="6"/>
  <c r="Y20" i="6"/>
  <c r="Y19" i="6"/>
  <c r="Y16" i="6"/>
  <c r="V74" i="6" l="1"/>
  <c r="N73" i="6"/>
  <c r="P72" i="6"/>
  <c r="U71" i="6"/>
  <c r="T71" i="6"/>
  <c r="S71" i="6"/>
  <c r="R71" i="6"/>
  <c r="Q71" i="6"/>
  <c r="P71" i="6"/>
  <c r="O71" i="6"/>
  <c r="U70" i="6"/>
  <c r="T70" i="6"/>
  <c r="S70" i="6"/>
  <c r="R70" i="6"/>
  <c r="Q70" i="6"/>
  <c r="P70" i="6"/>
  <c r="O70" i="6"/>
  <c r="N70" i="6"/>
  <c r="U69" i="6"/>
  <c r="T69" i="6"/>
  <c r="S69" i="6"/>
  <c r="R69" i="6"/>
  <c r="Q69" i="6"/>
  <c r="P69" i="6"/>
  <c r="O69" i="6"/>
  <c r="N69" i="6"/>
  <c r="V67" i="6"/>
  <c r="S66" i="6"/>
  <c r="N65" i="6"/>
  <c r="N64" i="6"/>
  <c r="V63" i="6"/>
  <c r="U61" i="6"/>
  <c r="T61" i="6"/>
  <c r="S61" i="6"/>
  <c r="R61" i="6"/>
  <c r="Q61" i="6"/>
  <c r="P61" i="6"/>
  <c r="O61" i="6"/>
  <c r="N61" i="6"/>
  <c r="U59" i="6"/>
  <c r="T59" i="6"/>
  <c r="S59" i="6"/>
  <c r="R59" i="6"/>
  <c r="Q59" i="6"/>
  <c r="P59" i="6"/>
  <c r="N59" i="6"/>
  <c r="N54" i="6"/>
  <c r="V52" i="6"/>
  <c r="U50" i="6"/>
  <c r="T50" i="6"/>
  <c r="S50" i="6"/>
  <c r="R50" i="6"/>
  <c r="Q50" i="6"/>
  <c r="P50" i="6"/>
  <c r="N50" i="6"/>
  <c r="V49" i="6"/>
  <c r="U48" i="6"/>
  <c r="T48" i="6"/>
  <c r="S48" i="6"/>
  <c r="R48" i="6"/>
  <c r="Q48" i="6"/>
  <c r="P48" i="6"/>
  <c r="O48" i="6"/>
  <c r="N48" i="6"/>
  <c r="U47" i="6"/>
  <c r="T47" i="6"/>
  <c r="S47" i="6"/>
  <c r="R47" i="6"/>
  <c r="P47" i="6"/>
  <c r="O47" i="6"/>
  <c r="N47" i="6"/>
  <c r="U46" i="6"/>
  <c r="T46" i="6"/>
  <c r="S46" i="6"/>
  <c r="R46" i="6"/>
  <c r="P46" i="6"/>
  <c r="U45" i="6"/>
  <c r="T45" i="6"/>
  <c r="S45" i="6"/>
  <c r="R45" i="6"/>
  <c r="Q45" i="6"/>
  <c r="P45" i="6"/>
  <c r="O45" i="6"/>
  <c r="N45" i="6"/>
  <c r="U44" i="6"/>
  <c r="T44" i="6"/>
  <c r="S44" i="6"/>
  <c r="R44" i="6"/>
  <c r="P44" i="6"/>
  <c r="N44" i="6"/>
  <c r="U42" i="6"/>
  <c r="T42" i="6"/>
  <c r="S42" i="6"/>
  <c r="R42" i="6"/>
  <c r="Q42" i="6"/>
  <c r="P42" i="6"/>
  <c r="O42" i="6"/>
  <c r="N42" i="6"/>
  <c r="U41" i="6"/>
  <c r="Q41" i="6"/>
  <c r="P41" i="6"/>
  <c r="O41" i="6"/>
  <c r="N41" i="6"/>
  <c r="V40" i="6"/>
  <c r="N39" i="6"/>
  <c r="V38" i="6"/>
  <c r="U37" i="6"/>
  <c r="S37" i="6"/>
  <c r="Q37" i="6"/>
  <c r="O37" i="6"/>
  <c r="N37" i="6"/>
  <c r="U36" i="6"/>
  <c r="T36" i="6"/>
  <c r="S36" i="6"/>
  <c r="R36" i="6"/>
  <c r="Q36" i="6"/>
  <c r="P36" i="6"/>
  <c r="O36" i="6"/>
  <c r="T33" i="6"/>
  <c r="R33" i="6"/>
  <c r="P33" i="6"/>
  <c r="O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U18" i="6"/>
  <c r="T18" i="6"/>
  <c r="S18" i="6"/>
  <c r="R18" i="6"/>
  <c r="Q18" i="6"/>
  <c r="P18" i="6"/>
  <c r="O18" i="6"/>
  <c r="N18" i="6"/>
  <c r="T17" i="6"/>
  <c r="R17" i="6"/>
  <c r="P17" i="6"/>
  <c r="N17" i="6"/>
  <c r="V16" i="6"/>
  <c r="R15" i="6"/>
  <c r="N15" i="6"/>
  <c r="N62" i="6" l="1"/>
  <c r="P62" i="6"/>
  <c r="R62" i="6"/>
  <c r="T62" i="6"/>
  <c r="O17" i="6"/>
  <c r="Q17" i="6"/>
  <c r="S17" i="6"/>
  <c r="U17" i="6"/>
  <c r="V37" i="6"/>
  <c r="V39" i="6"/>
  <c r="V42" i="6"/>
  <c r="O44" i="6"/>
  <c r="Q47" i="6"/>
  <c r="V50" i="6"/>
  <c r="V54" i="6"/>
  <c r="V64" i="6"/>
  <c r="V65" i="6"/>
  <c r="V66" i="6"/>
  <c r="V70" i="6"/>
  <c r="V71" i="6"/>
  <c r="V72" i="6"/>
  <c r="V73" i="6"/>
  <c r="T15" i="6"/>
  <c r="P56" i="6"/>
  <c r="V45" i="6"/>
  <c r="V46" i="6"/>
  <c r="V47" i="6"/>
  <c r="V48" i="6"/>
  <c r="V59" i="6"/>
  <c r="V61" i="6"/>
  <c r="V33" i="6"/>
  <c r="V41" i="6"/>
  <c r="O56" i="6"/>
  <c r="R56" i="6"/>
  <c r="T56" i="6"/>
  <c r="P15" i="6"/>
  <c r="V18" i="6"/>
  <c r="S56" i="6"/>
  <c r="U56" i="6"/>
  <c r="O62" i="6"/>
  <c r="O15" i="6"/>
  <c r="S62" i="6"/>
  <c r="S15" i="6"/>
  <c r="U62" i="6"/>
  <c r="U15" i="6"/>
  <c r="Q62" i="6"/>
  <c r="Q15" i="6"/>
  <c r="V62" i="6"/>
  <c r="N60" i="6"/>
  <c r="V17" i="6"/>
  <c r="N36" i="6"/>
  <c r="J46" i="6"/>
  <c r="AF46" i="6" s="1"/>
  <c r="I46" i="6"/>
  <c r="AE46" i="6" s="1"/>
  <c r="G46" i="6"/>
  <c r="AC46" i="6" s="1"/>
  <c r="F46" i="6"/>
  <c r="AB46" i="6" s="1"/>
  <c r="E46" i="6"/>
  <c r="AA46" i="6" s="1"/>
  <c r="D46" i="6"/>
  <c r="Z46" i="6" s="1"/>
  <c r="C46" i="6"/>
  <c r="Y46" i="6" s="1"/>
  <c r="V36" i="6" l="1"/>
  <c r="Q60" i="6"/>
  <c r="U60" i="6"/>
  <c r="S60" i="6"/>
  <c r="O60" i="6"/>
  <c r="V69" i="6"/>
  <c r="Q44" i="6"/>
  <c r="T60" i="6"/>
  <c r="R60" i="6"/>
  <c r="P60" i="6"/>
  <c r="N56" i="6"/>
  <c r="V15" i="6"/>
  <c r="V60" i="6"/>
  <c r="N58" i="6"/>
  <c r="E45" i="6"/>
  <c r="AA45" i="6" s="1"/>
  <c r="E72" i="6"/>
  <c r="AA72" i="6" s="1"/>
  <c r="C71" i="6"/>
  <c r="Y71" i="6" s="1"/>
  <c r="J71" i="6"/>
  <c r="AF71" i="6" s="1"/>
  <c r="I71" i="6"/>
  <c r="AE71" i="6" s="1"/>
  <c r="H71" i="6"/>
  <c r="AD71" i="6" s="1"/>
  <c r="G71" i="6"/>
  <c r="AC71" i="6" s="1"/>
  <c r="F71" i="6"/>
  <c r="AB71" i="6" s="1"/>
  <c r="E71" i="6"/>
  <c r="AA71" i="6" s="1"/>
  <c r="D71" i="6"/>
  <c r="Z71" i="6" s="1"/>
  <c r="J70" i="6"/>
  <c r="AF70" i="6" s="1"/>
  <c r="I70" i="6"/>
  <c r="AE70" i="6" s="1"/>
  <c r="H70" i="6"/>
  <c r="AD70" i="6" s="1"/>
  <c r="G70" i="6"/>
  <c r="AC70" i="6" s="1"/>
  <c r="F70" i="6"/>
  <c r="AB70" i="6" s="1"/>
  <c r="E70" i="6"/>
  <c r="AA70" i="6" s="1"/>
  <c r="D70" i="6"/>
  <c r="Z70" i="6" s="1"/>
  <c r="C70" i="6"/>
  <c r="Y70" i="6" s="1"/>
  <c r="J59" i="6"/>
  <c r="AF59" i="6" s="1"/>
  <c r="I59" i="6"/>
  <c r="AE59" i="6" s="1"/>
  <c r="H59" i="6"/>
  <c r="AD59" i="6" s="1"/>
  <c r="G59" i="6"/>
  <c r="AC59" i="6" s="1"/>
  <c r="F59" i="6"/>
  <c r="AB59" i="6" s="1"/>
  <c r="E59" i="6"/>
  <c r="AA59" i="6" s="1"/>
  <c r="Z59" i="6"/>
  <c r="C59" i="6"/>
  <c r="Y59" i="6" s="1"/>
  <c r="P58" i="6" l="1"/>
  <c r="R58" i="6"/>
  <c r="T58" i="6"/>
  <c r="V44" i="6"/>
  <c r="Q56" i="6"/>
  <c r="O58" i="6"/>
  <c r="S58" i="6"/>
  <c r="U58" i="6"/>
  <c r="Q58" i="6"/>
  <c r="J37" i="6"/>
  <c r="AF37" i="6" s="1"/>
  <c r="H37" i="6"/>
  <c r="AD37" i="6" s="1"/>
  <c r="F37" i="6"/>
  <c r="AB37" i="6" s="1"/>
  <c r="D37" i="6"/>
  <c r="Z37" i="6" s="1"/>
  <c r="C37" i="6"/>
  <c r="Y37" i="6" s="1"/>
  <c r="J50" i="6"/>
  <c r="AF50" i="6" s="1"/>
  <c r="I50" i="6"/>
  <c r="AE50" i="6" s="1"/>
  <c r="H50" i="6"/>
  <c r="AD50" i="6" s="1"/>
  <c r="G50" i="6"/>
  <c r="AC50" i="6" s="1"/>
  <c r="F50" i="6"/>
  <c r="AB50" i="6" s="1"/>
  <c r="E50" i="6"/>
  <c r="AA50" i="6" s="1"/>
  <c r="Z50" i="6"/>
  <c r="C50" i="6"/>
  <c r="Y50" i="6" s="1"/>
  <c r="V58" i="6" l="1"/>
  <c r="V56" i="6"/>
  <c r="K67" i="6"/>
  <c r="AG67" i="6" s="1"/>
  <c r="H66" i="6"/>
  <c r="AD66" i="6" s="1"/>
  <c r="C65" i="6"/>
  <c r="C64" i="6"/>
  <c r="K63" i="6"/>
  <c r="AG63" i="6" s="1"/>
  <c r="C54" i="6"/>
  <c r="K52" i="6"/>
  <c r="AG52" i="6" s="1"/>
  <c r="K54" i="6" l="1"/>
  <c r="AG54" i="6" s="1"/>
  <c r="Y54" i="6"/>
  <c r="K64" i="6"/>
  <c r="AG64" i="6" s="1"/>
  <c r="Y64" i="6"/>
  <c r="K65" i="6"/>
  <c r="AG65" i="6" s="1"/>
  <c r="Y65" i="6"/>
  <c r="K66" i="6"/>
  <c r="AG66" i="6" s="1"/>
  <c r="H46" i="6"/>
  <c r="J45" i="6"/>
  <c r="AF45" i="6" s="1"/>
  <c r="I45" i="6"/>
  <c r="AE45" i="6" s="1"/>
  <c r="H45" i="6"/>
  <c r="AD45" i="6" s="1"/>
  <c r="G45" i="6"/>
  <c r="AC45" i="6" s="1"/>
  <c r="F45" i="6"/>
  <c r="AB45" i="6" s="1"/>
  <c r="D45" i="6"/>
  <c r="Z45" i="6" s="1"/>
  <c r="C45" i="6"/>
  <c r="Y45" i="6" s="1"/>
  <c r="J42" i="6"/>
  <c r="AF42" i="6" s="1"/>
  <c r="I42" i="6"/>
  <c r="AE42" i="6" s="1"/>
  <c r="H42" i="6"/>
  <c r="AD42" i="6" s="1"/>
  <c r="G42" i="6"/>
  <c r="AC42" i="6" s="1"/>
  <c r="F42" i="6"/>
  <c r="AB42" i="6" s="1"/>
  <c r="E42" i="6"/>
  <c r="AA42" i="6" s="1"/>
  <c r="D42" i="6"/>
  <c r="Z42" i="6" s="1"/>
  <c r="C42" i="6"/>
  <c r="J41" i="6"/>
  <c r="AF41" i="6" s="1"/>
  <c r="F41" i="6"/>
  <c r="AB41" i="6" s="1"/>
  <c r="E41" i="6"/>
  <c r="AA41" i="6" s="1"/>
  <c r="D41" i="6"/>
  <c r="Z41" i="6" s="1"/>
  <c r="C41" i="6"/>
  <c r="Y41" i="6" s="1"/>
  <c r="C36" i="6" l="1"/>
  <c r="Y36" i="6" s="1"/>
  <c r="Y42" i="6"/>
  <c r="K46" i="6"/>
  <c r="AG46" i="6" s="1"/>
  <c r="AD46" i="6"/>
  <c r="K74" i="6"/>
  <c r="AG74" i="6" s="1"/>
  <c r="C18" i="6" l="1"/>
  <c r="Y18" i="6" s="1"/>
  <c r="J18" i="6"/>
  <c r="I18" i="6"/>
  <c r="AE18" i="6" s="1"/>
  <c r="H18" i="6"/>
  <c r="G18" i="6"/>
  <c r="AC18" i="6" s="1"/>
  <c r="F18" i="6"/>
  <c r="E18" i="6"/>
  <c r="AA18" i="6" s="1"/>
  <c r="D18" i="6"/>
  <c r="Z18" i="6" s="1"/>
  <c r="K32" i="6"/>
  <c r="AG32" i="6" s="1"/>
  <c r="K31" i="6"/>
  <c r="AG31" i="6" s="1"/>
  <c r="K30" i="6"/>
  <c r="AG30" i="6" s="1"/>
  <c r="K29" i="6"/>
  <c r="AG29" i="6" s="1"/>
  <c r="K28" i="6"/>
  <c r="AG28" i="6" s="1"/>
  <c r="K27" i="6"/>
  <c r="AG27" i="6" s="1"/>
  <c r="K26" i="6"/>
  <c r="AG26" i="6" s="1"/>
  <c r="K25" i="6"/>
  <c r="AG25" i="6" s="1"/>
  <c r="K24" i="6"/>
  <c r="AG24" i="6" s="1"/>
  <c r="K23" i="6"/>
  <c r="AG23" i="6" s="1"/>
  <c r="K22" i="6"/>
  <c r="AG22" i="6" s="1"/>
  <c r="K21" i="6"/>
  <c r="AG21" i="6" s="1"/>
  <c r="K20" i="6"/>
  <c r="AG20" i="6" s="1"/>
  <c r="K19" i="6"/>
  <c r="AG19" i="6" s="1"/>
  <c r="K16" i="6"/>
  <c r="AG16" i="6" s="1"/>
  <c r="I33" i="6"/>
  <c r="AE33" i="6" s="1"/>
  <c r="G33" i="6"/>
  <c r="AC33" i="6" s="1"/>
  <c r="E33" i="6"/>
  <c r="AA33" i="6" s="1"/>
  <c r="D33" i="6"/>
  <c r="Z33" i="6" s="1"/>
  <c r="F17" i="6" l="1"/>
  <c r="AB17" i="6" s="1"/>
  <c r="AB15" i="6" s="1"/>
  <c r="AB18" i="6"/>
  <c r="H17" i="6"/>
  <c r="AD17" i="6" s="1"/>
  <c r="AD15" i="6" s="1"/>
  <c r="AD18" i="6"/>
  <c r="J17" i="6"/>
  <c r="AF17" i="6" s="1"/>
  <c r="AF15" i="6" s="1"/>
  <c r="AF18" i="6"/>
  <c r="D17" i="6"/>
  <c r="Z17" i="6" s="1"/>
  <c r="Z15" i="6" s="1"/>
  <c r="F15" i="6"/>
  <c r="F62" i="6"/>
  <c r="AB62" i="6" s="1"/>
  <c r="H15" i="6"/>
  <c r="H62" i="6"/>
  <c r="AD62" i="6" s="1"/>
  <c r="J15" i="6"/>
  <c r="J62" i="6"/>
  <c r="AF62" i="6" s="1"/>
  <c r="I17" i="6"/>
  <c r="AE17" i="6" s="1"/>
  <c r="AE15" i="6" s="1"/>
  <c r="K33" i="6"/>
  <c r="AG33" i="6" s="1"/>
  <c r="E17" i="6"/>
  <c r="AA17" i="6" s="1"/>
  <c r="AA15" i="6" s="1"/>
  <c r="G17" i="6"/>
  <c r="AC17" i="6" s="1"/>
  <c r="AC15" i="6" s="1"/>
  <c r="K18" i="6"/>
  <c r="AG18" i="6" s="1"/>
  <c r="C17" i="6"/>
  <c r="Y17" i="6" s="1"/>
  <c r="Y15" i="6" s="1"/>
  <c r="AG15" i="6" s="1"/>
  <c r="J61" i="6"/>
  <c r="AF61" i="6" s="1"/>
  <c r="I61" i="6"/>
  <c r="AE61" i="6" s="1"/>
  <c r="H61" i="6"/>
  <c r="AD61" i="6" s="1"/>
  <c r="G61" i="6"/>
  <c r="AC61" i="6" s="1"/>
  <c r="F61" i="6"/>
  <c r="AB61" i="6" s="1"/>
  <c r="E61" i="6"/>
  <c r="AA61" i="6" s="1"/>
  <c r="D61" i="6"/>
  <c r="Z61" i="6" s="1"/>
  <c r="C61" i="6"/>
  <c r="Y61" i="6" s="1"/>
  <c r="E15" i="6" l="1"/>
  <c r="E62" i="6"/>
  <c r="AA62" i="6" s="1"/>
  <c r="I15" i="6"/>
  <c r="I62" i="6"/>
  <c r="AE62" i="6" s="1"/>
  <c r="C15" i="6"/>
  <c r="C62" i="6"/>
  <c r="Y62" i="6" s="1"/>
  <c r="G15" i="6"/>
  <c r="G62" i="6"/>
  <c r="AC62" i="6" s="1"/>
  <c r="D15" i="6"/>
  <c r="D62" i="6"/>
  <c r="K61" i="6"/>
  <c r="AG61" i="6" s="1"/>
  <c r="K17" i="6"/>
  <c r="AG17" i="6" s="1"/>
  <c r="E36" i="6"/>
  <c r="AA36" i="6" s="1"/>
  <c r="F36" i="6"/>
  <c r="AB36" i="6" s="1"/>
  <c r="G36" i="6"/>
  <c r="AC36" i="6" s="1"/>
  <c r="H36" i="6"/>
  <c r="AD36" i="6" s="1"/>
  <c r="I36" i="6"/>
  <c r="AE36" i="6" s="1"/>
  <c r="J36" i="6"/>
  <c r="AF36" i="6" s="1"/>
  <c r="C39" i="6"/>
  <c r="Y39" i="6" s="1"/>
  <c r="C60" i="6"/>
  <c r="C58" i="6" l="1"/>
  <c r="Y58" i="6" s="1"/>
  <c r="Y60" i="6"/>
  <c r="D60" i="6"/>
  <c r="Z62" i="6"/>
  <c r="K15" i="6"/>
  <c r="I60" i="6"/>
  <c r="G60" i="6"/>
  <c r="F60" i="6"/>
  <c r="E60" i="6"/>
  <c r="H60" i="6"/>
  <c r="H58" i="6" l="1"/>
  <c r="AD58" i="6" s="1"/>
  <c r="AD60" i="6"/>
  <c r="E58" i="6"/>
  <c r="AA58" i="6" s="1"/>
  <c r="AA60" i="6"/>
  <c r="F58" i="6"/>
  <c r="AB58" i="6" s="1"/>
  <c r="AB60" i="6"/>
  <c r="G58" i="6"/>
  <c r="AC58" i="6" s="1"/>
  <c r="AC60" i="6"/>
  <c r="I58" i="6"/>
  <c r="AE58" i="6" s="1"/>
  <c r="AE60" i="6"/>
  <c r="D58" i="6"/>
  <c r="Z58" i="6" s="1"/>
  <c r="Z60" i="6"/>
  <c r="J60" i="6"/>
  <c r="AF60" i="6" s="1"/>
  <c r="D69" i="6"/>
  <c r="Z69" i="6" s="1"/>
  <c r="I69" i="6"/>
  <c r="AE69" i="6" s="1"/>
  <c r="J69" i="6"/>
  <c r="AF69" i="6" s="1"/>
  <c r="K72" i="6"/>
  <c r="AG72" i="6" s="1"/>
  <c r="C73" i="6"/>
  <c r="C48" i="6"/>
  <c r="D36" i="6"/>
  <c r="Z36" i="6" s="1"/>
  <c r="K50" i="6"/>
  <c r="AG50" i="6" s="1"/>
  <c r="K49" i="6"/>
  <c r="AG49" i="6" s="1"/>
  <c r="J48" i="6"/>
  <c r="I48" i="6"/>
  <c r="AE48" i="6" s="1"/>
  <c r="H48" i="6"/>
  <c r="G48" i="6"/>
  <c r="F48" i="6"/>
  <c r="E48" i="6"/>
  <c r="D48" i="6"/>
  <c r="K45" i="6"/>
  <c r="AG45" i="6" s="1"/>
  <c r="K41" i="6"/>
  <c r="AG41" i="6" s="1"/>
  <c r="K40" i="6"/>
  <c r="AG40" i="6" s="1"/>
  <c r="K39" i="6"/>
  <c r="AG39" i="6" s="1"/>
  <c r="K38" i="6"/>
  <c r="AG38" i="6" s="1"/>
  <c r="D47" i="6" l="1"/>
  <c r="Z48" i="6"/>
  <c r="E47" i="6"/>
  <c r="AA48" i="6"/>
  <c r="F47" i="6"/>
  <c r="AB47" i="6" s="1"/>
  <c r="AB48" i="6"/>
  <c r="G47" i="6"/>
  <c r="AC47" i="6" s="1"/>
  <c r="AC48" i="6"/>
  <c r="H47" i="6"/>
  <c r="AD47" i="6" s="1"/>
  <c r="AD48" i="6"/>
  <c r="J47" i="6"/>
  <c r="AF47" i="6" s="1"/>
  <c r="AF48" i="6"/>
  <c r="C47" i="6"/>
  <c r="Y48" i="6"/>
  <c r="K73" i="6"/>
  <c r="AG73" i="6" s="1"/>
  <c r="Y73" i="6"/>
  <c r="K60" i="6"/>
  <c r="AG60" i="6" s="1"/>
  <c r="J58" i="6"/>
  <c r="H69" i="6"/>
  <c r="AD69" i="6" s="1"/>
  <c r="G69" i="6"/>
  <c r="AC69" i="6" s="1"/>
  <c r="F69" i="6"/>
  <c r="AB69" i="6" s="1"/>
  <c r="C69" i="6"/>
  <c r="Y69" i="6" s="1"/>
  <c r="E69" i="6"/>
  <c r="AA69" i="6" s="1"/>
  <c r="K36" i="6"/>
  <c r="AG36" i="6" s="1"/>
  <c r="K62" i="6"/>
  <c r="AG62" i="6" s="1"/>
  <c r="F44" i="6"/>
  <c r="G44" i="6"/>
  <c r="H44" i="6"/>
  <c r="K37" i="6"/>
  <c r="AG37" i="6" s="1"/>
  <c r="K71" i="6"/>
  <c r="AG71" i="6" s="1"/>
  <c r="K70" i="6"/>
  <c r="AG70" i="6" s="1"/>
  <c r="K48" i="6"/>
  <c r="AG48" i="6" s="1"/>
  <c r="J44" i="6"/>
  <c r="I47" i="6"/>
  <c r="K47" i="6" l="1"/>
  <c r="AG47" i="6" s="1"/>
  <c r="AE47" i="6"/>
  <c r="J56" i="6"/>
  <c r="AF56" i="6" s="1"/>
  <c r="AF44" i="6"/>
  <c r="H56" i="6"/>
  <c r="AD56" i="6" s="1"/>
  <c r="AD44" i="6"/>
  <c r="G56" i="6"/>
  <c r="AC56" i="6" s="1"/>
  <c r="AC44" i="6"/>
  <c r="F56" i="6"/>
  <c r="AB56" i="6" s="1"/>
  <c r="AB44" i="6"/>
  <c r="K58" i="6"/>
  <c r="AG58" i="6" s="1"/>
  <c r="AF58" i="6"/>
  <c r="C44" i="6"/>
  <c r="Y47" i="6"/>
  <c r="E44" i="6"/>
  <c r="AA47" i="6"/>
  <c r="D44" i="6"/>
  <c r="Z47" i="6"/>
  <c r="K69" i="6"/>
  <c r="AG69" i="6" s="1"/>
  <c r="I44" i="6"/>
  <c r="AE44" i="6" s="1"/>
  <c r="K42" i="6"/>
  <c r="AG42" i="6" s="1"/>
  <c r="Z44" i="6" l="1"/>
  <c r="D56" i="6"/>
  <c r="Z56" i="6" s="1"/>
  <c r="E56" i="6"/>
  <c r="AA56" i="6" s="1"/>
  <c r="AA44" i="6"/>
  <c r="C56" i="6"/>
  <c r="Y56" i="6" s="1"/>
  <c r="Y44" i="6"/>
  <c r="I56" i="6"/>
  <c r="K44" i="6"/>
  <c r="AG44" i="6" s="1"/>
  <c r="K56" i="6" l="1"/>
  <c r="AG56" i="6" s="1"/>
  <c r="AE56" i="6"/>
  <c r="K59" i="6"/>
  <c r="AG59" i="6" s="1"/>
</calcChain>
</file>

<file path=xl/sharedStrings.xml><?xml version="1.0" encoding="utf-8"?>
<sst xmlns="http://schemas.openxmlformats.org/spreadsheetml/2006/main" count="374" uniqueCount="129">
  <si>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</si>
  <si>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</si>
  <si>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</si>
  <si>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</si>
  <si>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</si>
  <si>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</si>
  <si>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</si>
  <si>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</si>
  <si>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</si>
  <si>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</si>
  <si>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</si>
  <si>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</si>
  <si>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</si>
  <si>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</si>
  <si>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</si>
  <si>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</si>
  <si>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</si>
  <si>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</si>
  <si>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</si>
  <si>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</si>
  <si>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</si>
  <si>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</si>
  <si>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</si>
  <si>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</si>
  <si>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</si>
  <si>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</si>
  <si>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</si>
  <si>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</si>
  <si>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</si>
  <si>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</si>
  <si>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</si>
  <si>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</si>
  <si>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</si>
  <si>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</si>
  <si>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</si>
  <si>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</si>
  <si>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</si>
  <si>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</si>
  <si>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</si>
  <si>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</si>
  <si>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</si>
  <si>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</si>
  <si>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</si>
  <si>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</si>
  <si>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</si>
  <si>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</si>
  <si>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</si>
  <si>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</si>
  <si>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</si>
  <si>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</si>
  <si>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</si>
  <si>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</si>
  <si>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</si>
  <si>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</si>
  <si>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</si>
  <si>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</si>
  <si>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</si>
  <si>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</si>
  <si>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</si>
  <si>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</si>
  <si>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</si>
  <si>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</si>
  <si>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</si>
  <si>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</si>
  <si>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</si>
  <si>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</si>
  <si>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</si>
  <si>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</si>
  <si>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</si>
  <si>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</si>
  <si>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</si>
  <si>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</si>
  <si>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</si>
  <si>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</si>
  <si>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</si>
  <si>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</si>
  <si>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</si>
  <si>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</si>
  <si>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</si>
  <si>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</si>
  <si>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</si>
  <si>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</si>
  <si>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</si>
  <si>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</si>
  <si>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</si>
  <si>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</si>
  <si>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6.</t>
  </si>
  <si>
    <t>7.</t>
  </si>
  <si>
    <t>7.1.</t>
  </si>
  <si>
    <t>7.3.</t>
  </si>
  <si>
    <t>7.4.</t>
  </si>
  <si>
    <t>на содержание и благоустройство ИВМК «Бендерская крепость» и парка им. А. Невского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</si>
  <si>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</si>
  <si>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</si>
  <si>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</si>
  <si>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</si>
  <si>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</si>
  <si>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Приложение № 3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</si>
  <si>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</si>
  <si>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</si>
  <si>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</si>
  <si>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</si>
  <si>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r>
      <t>2.1.1</t>
    </r>
    <r>
      <rPr>
        <sz val="12"/>
        <color rgb="FF00B0F0"/>
        <rFont val="Times New Roman"/>
        <family val="1"/>
        <charset val="204"/>
      </rPr>
      <t>.</t>
    </r>
  </si>
  <si>
    <r>
      <t>2.1.2</t>
    </r>
    <r>
      <rPr>
        <sz val="12"/>
        <color rgb="FF00B0F0"/>
        <rFont val="Times New Roman"/>
        <family val="1"/>
        <charset val="204"/>
      </rPr>
      <t>.</t>
    </r>
  </si>
  <si>
    <r>
      <t>2.1.3</t>
    </r>
    <r>
      <rPr>
        <sz val="12"/>
        <color rgb="FF00B0F0"/>
        <rFont val="Times New Roman"/>
        <family val="1"/>
        <charset val="204"/>
      </rPr>
      <t>.</t>
    </r>
  </si>
  <si>
    <r>
      <t>2.1.4</t>
    </r>
    <r>
      <rPr>
        <sz val="12"/>
        <color rgb="FF00B0F0"/>
        <rFont val="Times New Roman"/>
        <family val="1"/>
        <charset val="204"/>
      </rPr>
      <t>.</t>
    </r>
  </si>
  <si>
    <r>
      <t>3.3.1.1</t>
    </r>
    <r>
      <rPr>
        <i/>
        <sz val="12"/>
        <color rgb="FF00B0F0"/>
        <rFont val="Times New Roman"/>
        <family val="1"/>
        <charset val="204"/>
      </rPr>
      <t>.</t>
    </r>
  </si>
  <si>
    <t>по прочим направлениям</t>
  </si>
  <si>
    <t xml:space="preserve">Перечисление средств, не имеющих целевое назначени в доход республиканского бюджета </t>
  </si>
  <si>
    <t xml:space="preserve">Перечисление средств,  имеющих целевое назначени в доход республиканского бюджета </t>
  </si>
  <si>
    <r>
      <t>7.2</t>
    </r>
    <r>
      <rPr>
        <sz val="12"/>
        <color rgb="FF00B0F0"/>
        <rFont val="Times New Roman"/>
        <family val="1"/>
        <charset val="204"/>
      </rPr>
      <t>.</t>
    </r>
  </si>
  <si>
    <t>7.2.1.</t>
  </si>
  <si>
    <t>7.2.2.</t>
  </si>
  <si>
    <t>8.</t>
  </si>
  <si>
    <t>8.1.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</si>
  <si>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</si>
  <si>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средства Дорожного фонда, возвращенные в 2025 году на счет местного бюджета как не использованные в рамках договоров, заключенных в прошлые периоды</t>
  </si>
  <si>
    <t>средства целевого сбора с граждан на благоустройство территории города, села (поселка), возвращенные в 2025 году на счет местного бюджета как не использованные в рамках договоров, заключенных в прошлые периоды</t>
  </si>
  <si>
    <t>7.6.</t>
  </si>
  <si>
    <t>средства из резервных фондов  Президента ПМР и Правительства ПМР</t>
  </si>
  <si>
    <t>7.7.</t>
  </si>
  <si>
    <t xml:space="preserve">средства для выплаты единовременной финансовой (материальной) помощи родителям (иным законным представителям) обучающихся первого класса организаций образования, реализующих основную образовательную программу начального общего образования </t>
  </si>
  <si>
    <t>8.2.</t>
  </si>
  <si>
    <t>8.3.</t>
  </si>
  <si>
    <t>8.4.</t>
  </si>
  <si>
    <t>8.5.</t>
  </si>
  <si>
    <t>действующая редакция</t>
  </si>
  <si>
    <t>предлагаемая редакция</t>
  </si>
  <si>
    <t>отклонение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</si>
</sst>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4">
    <xf numFmtId="0" fontId="0" fillId="0" borderId="0" xfId="0"/>
    <xf numFmtId="3" fontId="7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3" fontId="9" fillId="2" borderId="0" xfId="0" applyNumberFormat="1" applyFont="1" applyFill="1"/>
    <xf numFmtId="3" fontId="7" fillId="0" borderId="0" xfId="0" applyNumberFormat="1" applyFont="1"/>
    <xf numFmtId="3" fontId="9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49" fontId="9" fillId="0" borderId="1" xfId="11" applyNumberFormat="1" applyFont="1" applyBorder="1" applyAlignment="1">
      <alignment horizontal="center" vertical="center"/>
    </xf>
    <xf numFmtId="3" fontId="9" fillId="0" borderId="1" xfId="1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1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/>
    <xf numFmtId="165" fontId="6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center" wrapText="1"/>
    </xf>
    <xf numFmtId="3" fontId="11" fillId="5" borderId="1" xfId="0" applyNumberFormat="1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horizontal="right" wrapText="1"/>
    </xf>
    <xf numFmtId="3" fontId="9" fillId="0" borderId="3" xfId="0" applyNumberFormat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 wrapText="1"/>
    </xf>
  </cellXfs>
  <cellStyles count="21">
    <cellStyle name="Обычный" xfId="0" builtinId="0"/>
    <cellStyle name="Обычный 2" xfId="11" xr:uid="{00000000-0005-0000-0000-000001000000}"/>
    <cellStyle name="Обычный 3" xfId="12" xr:uid="{00000000-0005-0000-0000-000002000000}"/>
    <cellStyle name="Финансовый 2" xfId="1" xr:uid="{00000000-0005-0000-0000-000003000000}"/>
    <cellStyle name="Финансовый 2 2" xfId="4" xr:uid="{00000000-0005-0000-0000-000004000000}"/>
    <cellStyle name="Финансовый 2 2 2" xfId="9" xr:uid="{00000000-0005-0000-0000-000005000000}"/>
    <cellStyle name="Финансовый 2 2 3" xfId="19" xr:uid="{00000000-0005-0000-0000-000006000000}"/>
    <cellStyle name="Финансовый 2 3" xfId="6" xr:uid="{00000000-0005-0000-0000-000007000000}"/>
    <cellStyle name="Финансовый 2 4" xfId="15" xr:uid="{00000000-0005-0000-0000-000008000000}"/>
    <cellStyle name="Финансовый 3" xfId="2" xr:uid="{00000000-0005-0000-0000-000009000000}"/>
    <cellStyle name="Финансовый 3 2" xfId="7" xr:uid="{00000000-0005-0000-0000-00000A000000}"/>
    <cellStyle name="Финансовый 3 2 2" xfId="18" xr:uid="{00000000-0005-0000-0000-00000B000000}"/>
    <cellStyle name="Финансовый 3 2 3" xfId="14" xr:uid="{00000000-0005-0000-0000-00000C000000}"/>
    <cellStyle name="Финансовый 3 3" xfId="17" xr:uid="{00000000-0005-0000-0000-00000D000000}"/>
    <cellStyle name="Финансовый 3 4" xfId="13" xr:uid="{00000000-0005-0000-0000-00000E000000}"/>
    <cellStyle name="Финансовый 4" xfId="3" xr:uid="{00000000-0005-0000-0000-00000F000000}"/>
    <cellStyle name="Финансовый 4 2" xfId="8" xr:uid="{00000000-0005-0000-0000-000010000000}"/>
    <cellStyle name="Финансовый 4 3" xfId="20" xr:uid="{00000000-0005-0000-0000-000011000000}"/>
    <cellStyle name="Финансовый 5" xfId="5" xr:uid="{00000000-0005-0000-0000-000012000000}"/>
    <cellStyle name="Финансовый 5 2" xfId="10" xr:uid="{00000000-0005-0000-0000-000013000000}"/>
    <cellStyle name="Финансовый 6" xfId="16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5"/>
  <sheetViews>
    <sheetView tabSelected="1" zoomScaleNormal="100" zoomScaleSheetLayoutView="100" workbookViewId="0">
      <pane xSplit="2" ySplit="14" topLeftCell="M15" activePane="bottomRight" state="frozen"/>
      <selection pane="topRight" activeCell="C1" sqref="C1"/>
      <selection pane="bottomLeft" activeCell="A12" sqref="A12"/>
      <selection pane="bottomRight" activeCell="A44" sqref="A44:XFD44"/>
    </sheetView>
  </sheetViews>
  <sheetFormatPr defaultColWidth="9.140625" defaultRowHeight="15.75" x14ac:dyDescent="0.25"/>
  <cols>
    <col min="1" max="1" width="9.5703125" style="4" bestFit="1" customWidth="1"/>
    <col min="2" max="2" width="51.5703125" style="4" customWidth="1"/>
    <col min="3" max="3" width="13.7109375" style="4" bestFit="1" customWidth="1"/>
    <col min="4" max="4" width="14" style="4" bestFit="1" customWidth="1"/>
    <col min="5" max="5" width="13.7109375" style="4" bestFit="1" customWidth="1"/>
    <col min="6" max="6" width="12.42578125" style="4" bestFit="1" customWidth="1"/>
    <col min="7" max="7" width="19.5703125" style="5" bestFit="1" customWidth="1"/>
    <col min="8" max="8" width="13.7109375" style="4" bestFit="1" customWidth="1"/>
    <col min="9" max="9" width="17.7109375" style="4" bestFit="1" customWidth="1"/>
    <col min="10" max="10" width="14.28515625" style="4" customWidth="1"/>
    <col min="11" max="11" width="14.42578125" style="6" customWidth="1"/>
    <col min="12" max="12" width="9.5703125" style="4" bestFit="1" customWidth="1"/>
    <col min="13" max="13" width="51.5703125" style="4" customWidth="1"/>
    <col min="14" max="14" width="13.7109375" style="4" bestFit="1" customWidth="1"/>
    <col min="15" max="15" width="14" style="4" bestFit="1" customWidth="1"/>
    <col min="16" max="16" width="13.7109375" style="4" bestFit="1" customWidth="1"/>
    <col min="17" max="17" width="12.42578125" style="4" bestFit="1" customWidth="1"/>
    <col min="18" max="18" width="19.5703125" style="5" bestFit="1" customWidth="1"/>
    <col min="19" max="19" width="13.7109375" style="4" bestFit="1" customWidth="1"/>
    <col min="20" max="20" width="17.7109375" style="4" bestFit="1" customWidth="1"/>
    <col min="21" max="21" width="14.28515625" style="4" customWidth="1"/>
    <col min="22" max="22" width="14.42578125" style="6" customWidth="1"/>
    <col min="23" max="23" width="9.5703125" style="4" bestFit="1" customWidth="1"/>
    <col min="24" max="24" width="51.5703125" style="4" customWidth="1"/>
    <col min="25" max="25" width="13.7109375" style="4" bestFit="1" customWidth="1"/>
    <col min="26" max="26" width="14" style="4" bestFit="1" customWidth="1"/>
    <col min="27" max="27" width="13.7109375" style="4" bestFit="1" customWidth="1"/>
    <col min="28" max="28" width="12.42578125" style="4" bestFit="1" customWidth="1"/>
    <col min="29" max="29" width="19.5703125" style="5" bestFit="1" customWidth="1"/>
    <col min="30" max="30" width="13.7109375" style="4" bestFit="1" customWidth="1"/>
    <col min="31" max="31" width="17.7109375" style="4" bestFit="1" customWidth="1"/>
    <col min="32" max="32" width="14.28515625" style="4" customWidth="1"/>
    <col min="33" max="33" width="14.42578125" style="6" customWidth="1"/>
    <col min="34" max="16384" width="9.140625" style="4"/>
  </cols>
  <sheetData>
    <row r="1" spans="1:33" s="7" customFormat="1" hidden="1" x14ac:dyDescent="0.25">
      <c r="K1" s="2" t="s">
        <v>97</v>
      </c>
      <c r="V1" s="2" t="s">
        <v>97</v>
      </c>
      <c r="AG1" s="2" t="s">
        <v>97</v>
      </c>
    </row>
    <row r="2" spans="1:33" s="7" customFormat="1" hidden="1" x14ac:dyDescent="0.25">
      <c r="K2" s="3" t="s">
        <v>98</v>
      </c>
      <c r="V2" s="3" t="s">
        <v>98</v>
      </c>
      <c r="AG2" s="3" t="s">
        <v>98</v>
      </c>
    </row>
    <row r="3" spans="1:33" s="7" customFormat="1" hidden="1" x14ac:dyDescent="0.25">
      <c r="K3" s="2" t="s">
        <v>99</v>
      </c>
      <c r="V3" s="2" t="s">
        <v>99</v>
      </c>
      <c r="AG3" s="2" t="s">
        <v>99</v>
      </c>
    </row>
    <row r="4" spans="1:33" s="7" customFormat="1" hidden="1" x14ac:dyDescent="0.25">
      <c r="K4" s="3" t="s">
        <v>100</v>
      </c>
      <c r="V4" s="3" t="s">
        <v>100</v>
      </c>
      <c r="AG4" s="3" t="s">
        <v>100</v>
      </c>
    </row>
    <row r="5" spans="1:33" s="7" customFormat="1" hidden="1" x14ac:dyDescent="0.25">
      <c r="K5" s="3" t="s">
        <v>101</v>
      </c>
      <c r="V5" s="3" t="s">
        <v>101</v>
      </c>
      <c r="AG5" s="3" t="s">
        <v>101</v>
      </c>
    </row>
    <row r="6" spans="1:33" s="7" customFormat="1" hidden="1" x14ac:dyDescent="0.25">
      <c r="K6" s="60"/>
      <c r="V6" s="60"/>
      <c r="AG6" s="60"/>
    </row>
    <row r="7" spans="1:33" s="57" customFormat="1" x14ac:dyDescent="0.25">
      <c r="A7" s="54"/>
      <c r="B7" s="55"/>
      <c r="C7" s="56"/>
      <c r="D7" s="56"/>
      <c r="E7" s="56"/>
      <c r="F7" s="56"/>
      <c r="G7" s="56"/>
      <c r="H7" s="71" t="s">
        <v>70</v>
      </c>
      <c r="I7" s="71"/>
      <c r="J7" s="71"/>
      <c r="K7" s="71"/>
      <c r="L7" s="54"/>
      <c r="M7" s="55"/>
      <c r="N7" s="56"/>
      <c r="O7" s="56"/>
      <c r="P7" s="56"/>
      <c r="Q7" s="56"/>
      <c r="R7" s="56"/>
      <c r="S7" s="71"/>
      <c r="T7" s="71"/>
      <c r="U7" s="71"/>
      <c r="V7" s="71"/>
      <c r="W7" s="54"/>
      <c r="X7" s="55"/>
      <c r="Y7" s="56"/>
      <c r="Z7" s="56"/>
      <c r="AA7" s="56"/>
      <c r="AB7" s="56"/>
      <c r="AC7" s="56"/>
      <c r="AD7" s="71"/>
      <c r="AE7" s="71"/>
      <c r="AF7" s="71"/>
      <c r="AG7" s="71"/>
    </row>
    <row r="8" spans="1:33" s="57" customFormat="1" x14ac:dyDescent="0.25">
      <c r="A8" s="54"/>
      <c r="B8" s="55"/>
      <c r="C8" s="56"/>
      <c r="D8" s="56"/>
      <c r="E8" s="56"/>
      <c r="F8" s="56"/>
      <c r="G8" s="71" t="s">
        <v>71</v>
      </c>
      <c r="H8" s="71"/>
      <c r="I8" s="71"/>
      <c r="J8" s="71"/>
      <c r="K8" s="71"/>
      <c r="L8" s="54"/>
      <c r="M8" s="55"/>
      <c r="N8" s="56"/>
      <c r="O8" s="56"/>
      <c r="P8" s="56"/>
      <c r="Q8" s="56"/>
      <c r="R8" s="71"/>
      <c r="S8" s="71"/>
      <c r="T8" s="71"/>
      <c r="U8" s="71"/>
      <c r="V8" s="71"/>
      <c r="W8" s="54"/>
      <c r="X8" s="55"/>
      <c r="Y8" s="56"/>
      <c r="Z8" s="56"/>
      <c r="AA8" s="56"/>
      <c r="AB8" s="56"/>
      <c r="AC8" s="71"/>
      <c r="AD8" s="71"/>
      <c r="AE8" s="71"/>
      <c r="AF8" s="71"/>
      <c r="AG8" s="71"/>
    </row>
    <row r="9" spans="1:33" s="57" customFormat="1" x14ac:dyDescent="0.25">
      <c r="A9" s="54"/>
      <c r="B9" s="55"/>
      <c r="C9" s="56"/>
      <c r="D9" s="56"/>
      <c r="E9" s="56"/>
      <c r="F9" s="56"/>
      <c r="G9" s="56"/>
      <c r="H9" s="71" t="s">
        <v>72</v>
      </c>
      <c r="I9" s="71"/>
      <c r="J9" s="71"/>
      <c r="K9" s="71"/>
      <c r="L9" s="54"/>
      <c r="M9" s="55"/>
      <c r="N9" s="56"/>
      <c r="O9" s="56"/>
      <c r="P9" s="56"/>
      <c r="Q9" s="56"/>
      <c r="R9" s="56"/>
      <c r="S9" s="71"/>
      <c r="T9" s="71"/>
      <c r="U9" s="71"/>
      <c r="V9" s="71"/>
      <c r="W9" s="54"/>
      <c r="X9" s="55"/>
      <c r="Y9" s="56"/>
      <c r="Z9" s="56"/>
      <c r="AA9" s="56"/>
      <c r="AB9" s="56"/>
      <c r="AC9" s="56"/>
      <c r="AD9" s="71"/>
      <c r="AE9" s="71"/>
      <c r="AF9" s="71"/>
      <c r="AG9" s="71"/>
    </row>
    <row r="10" spans="1:33" s="57" customFormat="1" x14ac:dyDescent="0.25">
      <c r="A10" s="54"/>
      <c r="B10" s="55"/>
      <c r="C10" s="56"/>
      <c r="D10" s="56"/>
      <c r="E10" s="56"/>
      <c r="F10" s="56"/>
      <c r="G10" s="56"/>
      <c r="H10" s="58"/>
      <c r="I10" s="58"/>
      <c r="J10" s="58"/>
      <c r="K10" s="59"/>
      <c r="L10" s="54"/>
      <c r="M10" s="55"/>
      <c r="N10" s="56"/>
      <c r="O10" s="56"/>
      <c r="P10" s="56"/>
      <c r="Q10" s="56"/>
      <c r="R10" s="56"/>
      <c r="S10" s="61"/>
      <c r="T10" s="61"/>
      <c r="U10" s="61"/>
      <c r="V10" s="59"/>
      <c r="W10" s="54"/>
      <c r="X10" s="55"/>
      <c r="Y10" s="56"/>
      <c r="Z10" s="56"/>
      <c r="AA10" s="56"/>
      <c r="AB10" s="56"/>
      <c r="AC10" s="56"/>
      <c r="AD10" s="61"/>
      <c r="AE10" s="61"/>
      <c r="AF10" s="61"/>
      <c r="AG10" s="59"/>
    </row>
    <row r="11" spans="1:33" s="7" customFormat="1" x14ac:dyDescent="0.25">
      <c r="A11" s="73" t="s">
        <v>39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62"/>
      <c r="M11" s="62"/>
    </row>
    <row r="12" spans="1:3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</row>
    <row r="13" spans="1:33" x14ac:dyDescent="0.25">
      <c r="A13" s="7"/>
      <c r="B13" s="7"/>
      <c r="C13" s="72" t="s">
        <v>126</v>
      </c>
      <c r="D13" s="72"/>
      <c r="E13" s="72"/>
      <c r="F13" s="72"/>
      <c r="G13" s="72"/>
      <c r="H13" s="72"/>
      <c r="I13" s="72"/>
      <c r="J13" s="72"/>
      <c r="K13" s="53" t="s">
        <v>14</v>
      </c>
      <c r="L13" s="7"/>
      <c r="M13" s="7"/>
      <c r="N13" s="72" t="s">
        <v>127</v>
      </c>
      <c r="O13" s="72"/>
      <c r="P13" s="72"/>
      <c r="Q13" s="72"/>
      <c r="R13" s="72"/>
      <c r="S13" s="72"/>
      <c r="T13" s="72"/>
      <c r="U13" s="72"/>
      <c r="V13" s="53"/>
      <c r="W13" s="7"/>
      <c r="X13" s="7"/>
      <c r="Y13" s="72" t="s">
        <v>128</v>
      </c>
      <c r="Z13" s="72"/>
      <c r="AA13" s="72"/>
      <c r="AB13" s="72"/>
      <c r="AC13" s="72"/>
      <c r="AD13" s="72"/>
      <c r="AE13" s="72"/>
      <c r="AF13" s="72"/>
      <c r="AG13" s="53"/>
    </row>
    <row r="14" spans="1:33" s="10" customFormat="1" x14ac:dyDescent="0.25">
      <c r="A14" s="8" t="s">
        <v>10</v>
      </c>
      <c r="B14" s="9" t="s">
        <v>0</v>
      </c>
      <c r="C14" s="8" t="s">
        <v>1</v>
      </c>
      <c r="D14" s="8" t="s">
        <v>2</v>
      </c>
      <c r="E14" s="8" t="s">
        <v>3</v>
      </c>
      <c r="F14" s="8" t="s">
        <v>4</v>
      </c>
      <c r="G14" s="8" t="s">
        <v>5</v>
      </c>
      <c r="H14" s="8" t="s">
        <v>6</v>
      </c>
      <c r="I14" s="8" t="s">
        <v>7</v>
      </c>
      <c r="J14" s="8" t="s">
        <v>8</v>
      </c>
      <c r="K14" s="8" t="s">
        <v>9</v>
      </c>
      <c r="L14" s="8" t="s">
        <v>10</v>
      </c>
      <c r="M14" s="9" t="s">
        <v>0</v>
      </c>
      <c r="N14" s="8" t="s">
        <v>1</v>
      </c>
      <c r="O14" s="8" t="s">
        <v>2</v>
      </c>
      <c r="P14" s="8" t="s">
        <v>3</v>
      </c>
      <c r="Q14" s="8" t="s">
        <v>4</v>
      </c>
      <c r="R14" s="8" t="s">
        <v>5</v>
      </c>
      <c r="S14" s="8" t="s">
        <v>6</v>
      </c>
      <c r="T14" s="8" t="s">
        <v>7</v>
      </c>
      <c r="U14" s="8" t="s">
        <v>8</v>
      </c>
      <c r="V14" s="8" t="s">
        <v>9</v>
      </c>
      <c r="W14" s="8" t="s">
        <v>10</v>
      </c>
      <c r="X14" s="9" t="s">
        <v>0</v>
      </c>
      <c r="Y14" s="8" t="s">
        <v>1</v>
      </c>
      <c r="Z14" s="8" t="s">
        <v>2</v>
      </c>
      <c r="AA14" s="8" t="s">
        <v>3</v>
      </c>
      <c r="AB14" s="8" t="s">
        <v>4</v>
      </c>
      <c r="AC14" s="8" t="s">
        <v>5</v>
      </c>
      <c r="AD14" s="8" t="s">
        <v>6</v>
      </c>
      <c r="AE14" s="8" t="s">
        <v>7</v>
      </c>
      <c r="AF14" s="8" t="s">
        <v>8</v>
      </c>
      <c r="AG14" s="8" t="s">
        <v>9</v>
      </c>
    </row>
    <row r="15" spans="1:33" s="10" customFormat="1" x14ac:dyDescent="0.25">
      <c r="A15" s="11" t="s">
        <v>15</v>
      </c>
      <c r="B15" s="12" t="s">
        <v>69</v>
      </c>
      <c r="C15" s="13">
        <f>C16+C17</f>
        <v>105085028</v>
      </c>
      <c r="D15" s="13">
        <f t="shared" ref="D15:J15" si="0">D16+D17</f>
        <v>11441698</v>
      </c>
      <c r="E15" s="13">
        <f t="shared" si="0"/>
        <v>6464703</v>
      </c>
      <c r="F15" s="13">
        <f t="shared" si="0"/>
        <v>28634752</v>
      </c>
      <c r="G15" s="13">
        <f t="shared" si="0"/>
        <v>13883816</v>
      </c>
      <c r="H15" s="13">
        <f t="shared" si="0"/>
        <v>5492400</v>
      </c>
      <c r="I15" s="13">
        <f t="shared" si="0"/>
        <v>6688997</v>
      </c>
      <c r="J15" s="13">
        <f t="shared" si="0"/>
        <v>6088084</v>
      </c>
      <c r="K15" s="13">
        <f>SUM(C15:J15)</f>
        <v>183779478</v>
      </c>
      <c r="L15" s="11" t="s">
        <v>15</v>
      </c>
      <c r="M15" s="12" t="s">
        <v>69</v>
      </c>
      <c r="N15" s="13">
        <f>N16+N17</f>
        <v>105085028</v>
      </c>
      <c r="O15" s="13">
        <f t="shared" ref="O15:U15" si="1">O16+O17</f>
        <v>11441698</v>
      </c>
      <c r="P15" s="13">
        <f t="shared" si="1"/>
        <v>6464703</v>
      </c>
      <c r="Q15" s="13">
        <f t="shared" si="1"/>
        <v>28634752</v>
      </c>
      <c r="R15" s="13">
        <f t="shared" si="1"/>
        <v>13883816</v>
      </c>
      <c r="S15" s="13">
        <f t="shared" si="1"/>
        <v>5492400</v>
      </c>
      <c r="T15" s="13">
        <f t="shared" si="1"/>
        <v>6688997</v>
      </c>
      <c r="U15" s="13">
        <f t="shared" si="1"/>
        <v>6088084</v>
      </c>
      <c r="V15" s="13">
        <f>SUM(N15:U15)</f>
        <v>183779478</v>
      </c>
      <c r="W15" s="11" t="s">
        <v>15</v>
      </c>
      <c r="X15" s="12" t="s">
        <v>69</v>
      </c>
      <c r="Y15" s="13">
        <f>Y16+Y17</f>
        <v>0</v>
      </c>
      <c r="Z15" s="13">
        <f t="shared" ref="Z15:AF15" si="2">Z16+Z17</f>
        <v>0</v>
      </c>
      <c r="AA15" s="13">
        <f t="shared" si="2"/>
        <v>0</v>
      </c>
      <c r="AB15" s="13">
        <f t="shared" si="2"/>
        <v>0</v>
      </c>
      <c r="AC15" s="13">
        <f t="shared" si="2"/>
        <v>0</v>
      </c>
      <c r="AD15" s="13">
        <f t="shared" si="2"/>
        <v>0</v>
      </c>
      <c r="AE15" s="13">
        <f t="shared" si="2"/>
        <v>0</v>
      </c>
      <c r="AF15" s="13">
        <f t="shared" si="2"/>
        <v>0</v>
      </c>
      <c r="AG15" s="13">
        <f>SUM(Y15:AF15)</f>
        <v>0</v>
      </c>
    </row>
    <row r="16" spans="1:33" s="10" customFormat="1" x14ac:dyDescent="0.25">
      <c r="A16" s="14" t="s">
        <v>27</v>
      </c>
      <c r="B16" s="15" t="s">
        <v>66</v>
      </c>
      <c r="C16" s="16">
        <v>83354160</v>
      </c>
      <c r="D16" s="16">
        <v>1980904</v>
      </c>
      <c r="E16" s="16">
        <v>213707</v>
      </c>
      <c r="F16" s="16">
        <v>15917310</v>
      </c>
      <c r="G16" s="16">
        <v>4854094</v>
      </c>
      <c r="H16" s="16">
        <v>1230308</v>
      </c>
      <c r="I16" s="16">
        <v>2475050</v>
      </c>
      <c r="J16" s="16">
        <v>1557938</v>
      </c>
      <c r="K16" s="16">
        <f t="shared" ref="K16:K32" si="3">SUM(C16:J16)</f>
        <v>111583471</v>
      </c>
      <c r="L16" s="14" t="s">
        <v>27</v>
      </c>
      <c r="M16" s="15" t="s">
        <v>66</v>
      </c>
      <c r="N16" s="16">
        <v>83354160</v>
      </c>
      <c r="O16" s="16">
        <v>1980904</v>
      </c>
      <c r="P16" s="16">
        <v>213707</v>
      </c>
      <c r="Q16" s="16">
        <v>15917310</v>
      </c>
      <c r="R16" s="16">
        <v>4854094</v>
      </c>
      <c r="S16" s="16">
        <v>1230308</v>
      </c>
      <c r="T16" s="16">
        <v>2475050</v>
      </c>
      <c r="U16" s="16">
        <v>1557938</v>
      </c>
      <c r="V16" s="16">
        <f t="shared" ref="V16:V17" si="4">SUM(N16:U16)</f>
        <v>111583471</v>
      </c>
      <c r="W16" s="14" t="s">
        <v>27</v>
      </c>
      <c r="X16" s="15" t="s">
        <v>66</v>
      </c>
      <c r="Y16" s="16">
        <f>N16-C16</f>
        <v>0</v>
      </c>
      <c r="Z16" s="16">
        <f t="shared" ref="Z16:AG22" si="5">O16-D16</f>
        <v>0</v>
      </c>
      <c r="AA16" s="16">
        <f t="shared" si="5"/>
        <v>0</v>
      </c>
      <c r="AB16" s="16">
        <f t="shared" si="5"/>
        <v>0</v>
      </c>
      <c r="AC16" s="16">
        <f t="shared" si="5"/>
        <v>0</v>
      </c>
      <c r="AD16" s="16">
        <f t="shared" si="5"/>
        <v>0</v>
      </c>
      <c r="AE16" s="16">
        <f t="shared" si="5"/>
        <v>0</v>
      </c>
      <c r="AF16" s="16">
        <f t="shared" si="5"/>
        <v>0</v>
      </c>
      <c r="AG16" s="16">
        <f t="shared" si="5"/>
        <v>0</v>
      </c>
    </row>
    <row r="17" spans="1:33" s="10" customFormat="1" x14ac:dyDescent="0.25">
      <c r="A17" s="14" t="s">
        <v>28</v>
      </c>
      <c r="B17" s="15" t="s">
        <v>73</v>
      </c>
      <c r="C17" s="16">
        <f>C18+C31+C32+C33+C34</f>
        <v>21730868</v>
      </c>
      <c r="D17" s="16">
        <f t="shared" ref="D17:J17" si="6">D18+D31+D32+D33+D34</f>
        <v>9460794</v>
      </c>
      <c r="E17" s="16">
        <f t="shared" si="6"/>
        <v>6250996</v>
      </c>
      <c r="F17" s="16">
        <f t="shared" si="6"/>
        <v>12717442</v>
      </c>
      <c r="G17" s="16">
        <f t="shared" si="6"/>
        <v>9029722</v>
      </c>
      <c r="H17" s="16">
        <f t="shared" si="6"/>
        <v>4262092</v>
      </c>
      <c r="I17" s="16">
        <f t="shared" si="6"/>
        <v>4213947</v>
      </c>
      <c r="J17" s="16">
        <f t="shared" si="6"/>
        <v>4530146</v>
      </c>
      <c r="K17" s="16">
        <f t="shared" si="3"/>
        <v>72196007</v>
      </c>
      <c r="L17" s="14" t="s">
        <v>28</v>
      </c>
      <c r="M17" s="15" t="s">
        <v>73</v>
      </c>
      <c r="N17" s="16">
        <f>N18+N31+N32+N33+N34</f>
        <v>21730868</v>
      </c>
      <c r="O17" s="16">
        <f t="shared" ref="O17:U17" si="7">O18+O31+O32+O33+O34</f>
        <v>9460794</v>
      </c>
      <c r="P17" s="16">
        <f t="shared" si="7"/>
        <v>6250996</v>
      </c>
      <c r="Q17" s="16">
        <f t="shared" si="7"/>
        <v>12717442</v>
      </c>
      <c r="R17" s="16">
        <f t="shared" si="7"/>
        <v>9029722</v>
      </c>
      <c r="S17" s="16">
        <f t="shared" si="7"/>
        <v>4262092</v>
      </c>
      <c r="T17" s="16">
        <f t="shared" si="7"/>
        <v>4213947</v>
      </c>
      <c r="U17" s="16">
        <f t="shared" si="7"/>
        <v>4530146</v>
      </c>
      <c r="V17" s="16">
        <f t="shared" si="4"/>
        <v>72196007</v>
      </c>
      <c r="W17" s="14" t="s">
        <v>28</v>
      </c>
      <c r="X17" s="15" t="s">
        <v>73</v>
      </c>
      <c r="Y17" s="16">
        <f t="shared" ref="Y17:Y19" si="8">N17-C17</f>
        <v>0</v>
      </c>
      <c r="Z17" s="16">
        <f t="shared" si="5"/>
        <v>0</v>
      </c>
      <c r="AA17" s="16">
        <f t="shared" si="5"/>
        <v>0</v>
      </c>
      <c r="AB17" s="16">
        <f t="shared" si="5"/>
        <v>0</v>
      </c>
      <c r="AC17" s="16">
        <f t="shared" si="5"/>
        <v>0</v>
      </c>
      <c r="AD17" s="16">
        <f t="shared" si="5"/>
        <v>0</v>
      </c>
      <c r="AE17" s="16">
        <f t="shared" si="5"/>
        <v>0</v>
      </c>
      <c r="AF17" s="16">
        <f t="shared" si="5"/>
        <v>0</v>
      </c>
      <c r="AG17" s="16">
        <f t="shared" si="5"/>
        <v>0</v>
      </c>
    </row>
    <row r="18" spans="1:33" s="10" customFormat="1" x14ac:dyDescent="0.25">
      <c r="A18" s="14" t="s">
        <v>76</v>
      </c>
      <c r="B18" s="15" t="s">
        <v>41</v>
      </c>
      <c r="C18" s="16">
        <f>SUM(C19:C30)</f>
        <v>11428375</v>
      </c>
      <c r="D18" s="16">
        <f t="shared" ref="D18:J18" si="9">SUM(D19:D30)</f>
        <v>7179807</v>
      </c>
      <c r="E18" s="16">
        <f t="shared" si="9"/>
        <v>2990283</v>
      </c>
      <c r="F18" s="16">
        <f t="shared" si="9"/>
        <v>7097305</v>
      </c>
      <c r="G18" s="16">
        <f t="shared" si="9"/>
        <v>4663858</v>
      </c>
      <c r="H18" s="16">
        <f t="shared" si="9"/>
        <v>2325155</v>
      </c>
      <c r="I18" s="16">
        <f t="shared" si="9"/>
        <v>3776908</v>
      </c>
      <c r="J18" s="16">
        <f t="shared" si="9"/>
        <v>2402014</v>
      </c>
      <c r="K18" s="16">
        <f>SUM(C18:J18)</f>
        <v>41863705</v>
      </c>
      <c r="L18" s="14" t="s">
        <v>76</v>
      </c>
      <c r="M18" s="15" t="s">
        <v>41</v>
      </c>
      <c r="N18" s="16">
        <f>SUM(N19:N30)</f>
        <v>11428375</v>
      </c>
      <c r="O18" s="16">
        <f t="shared" ref="O18:U18" si="10">SUM(O19:O30)</f>
        <v>7179807</v>
      </c>
      <c r="P18" s="16">
        <f t="shared" si="10"/>
        <v>2990283</v>
      </c>
      <c r="Q18" s="16">
        <f t="shared" si="10"/>
        <v>7097305</v>
      </c>
      <c r="R18" s="16">
        <f t="shared" si="10"/>
        <v>4663858</v>
      </c>
      <c r="S18" s="16">
        <f t="shared" si="10"/>
        <v>2325155</v>
      </c>
      <c r="T18" s="16">
        <f t="shared" si="10"/>
        <v>3776908</v>
      </c>
      <c r="U18" s="16">
        <f t="shared" si="10"/>
        <v>2402014</v>
      </c>
      <c r="V18" s="16">
        <f>SUM(N18:U18)</f>
        <v>41863705</v>
      </c>
      <c r="W18" s="14" t="s">
        <v>76</v>
      </c>
      <c r="X18" s="15" t="s">
        <v>41</v>
      </c>
      <c r="Y18" s="16">
        <f t="shared" si="8"/>
        <v>0</v>
      </c>
      <c r="Z18" s="16">
        <f t="shared" si="5"/>
        <v>0</v>
      </c>
      <c r="AA18" s="16">
        <f t="shared" si="5"/>
        <v>0</v>
      </c>
      <c r="AB18" s="16">
        <f t="shared" si="5"/>
        <v>0</v>
      </c>
      <c r="AC18" s="16">
        <f t="shared" si="5"/>
        <v>0</v>
      </c>
      <c r="AD18" s="16">
        <f t="shared" si="5"/>
        <v>0</v>
      </c>
      <c r="AE18" s="16">
        <f t="shared" si="5"/>
        <v>0</v>
      </c>
      <c r="AF18" s="16">
        <f t="shared" si="5"/>
        <v>0</v>
      </c>
      <c r="AG18" s="16">
        <f t="shared" si="5"/>
        <v>0</v>
      </c>
    </row>
    <row r="19" spans="1:33" s="10" customFormat="1" ht="31.5" x14ac:dyDescent="0.25">
      <c r="A19" s="14" t="s">
        <v>42</v>
      </c>
      <c r="B19" s="17" t="s">
        <v>67</v>
      </c>
      <c r="C19" s="16">
        <v>3541568</v>
      </c>
      <c r="D19" s="16">
        <v>285888</v>
      </c>
      <c r="E19" s="16">
        <v>443984</v>
      </c>
      <c r="F19" s="16">
        <v>2377805</v>
      </c>
      <c r="G19" s="16">
        <v>1272642</v>
      </c>
      <c r="H19" s="16">
        <v>755460</v>
      </c>
      <c r="I19" s="16">
        <v>819145</v>
      </c>
      <c r="J19" s="16">
        <v>294209</v>
      </c>
      <c r="K19" s="16">
        <f t="shared" si="3"/>
        <v>9790701</v>
      </c>
      <c r="L19" s="14" t="s">
        <v>42</v>
      </c>
      <c r="M19" s="17" t="s">
        <v>67</v>
      </c>
      <c r="N19" s="16">
        <v>3541568</v>
      </c>
      <c r="O19" s="16">
        <v>285888</v>
      </c>
      <c r="P19" s="16">
        <v>443984</v>
      </c>
      <c r="Q19" s="16">
        <v>2377805</v>
      </c>
      <c r="R19" s="16">
        <v>1272642</v>
      </c>
      <c r="S19" s="16">
        <v>755460</v>
      </c>
      <c r="T19" s="16">
        <v>819145</v>
      </c>
      <c r="U19" s="16">
        <v>294209</v>
      </c>
      <c r="V19" s="16">
        <f t="shared" ref="V19:V32" si="11">SUM(N19:U19)</f>
        <v>9790701</v>
      </c>
      <c r="W19" s="14" t="s">
        <v>42</v>
      </c>
      <c r="X19" s="17" t="s">
        <v>67</v>
      </c>
      <c r="Y19" s="16">
        <f t="shared" si="8"/>
        <v>0</v>
      </c>
      <c r="Z19" s="16">
        <f t="shared" si="5"/>
        <v>0</v>
      </c>
      <c r="AA19" s="16">
        <f t="shared" si="5"/>
        <v>0</v>
      </c>
      <c r="AB19" s="16">
        <f t="shared" si="5"/>
        <v>0</v>
      </c>
      <c r="AC19" s="16">
        <f t="shared" si="5"/>
        <v>0</v>
      </c>
      <c r="AD19" s="16">
        <f t="shared" si="5"/>
        <v>0</v>
      </c>
      <c r="AE19" s="16">
        <f t="shared" si="5"/>
        <v>0</v>
      </c>
      <c r="AF19" s="16">
        <f t="shared" si="5"/>
        <v>0</v>
      </c>
      <c r="AG19" s="16">
        <f t="shared" si="5"/>
        <v>0</v>
      </c>
    </row>
    <row r="20" spans="1:33" s="10" customFormat="1" x14ac:dyDescent="0.25">
      <c r="A20" s="14" t="s">
        <v>43</v>
      </c>
      <c r="B20" s="17" t="s">
        <v>44</v>
      </c>
      <c r="C20" s="16"/>
      <c r="D20" s="16"/>
      <c r="E20" s="16">
        <v>1894</v>
      </c>
      <c r="F20" s="16">
        <v>3983</v>
      </c>
      <c r="G20" s="16"/>
      <c r="H20" s="16">
        <v>2092</v>
      </c>
      <c r="I20" s="16"/>
      <c r="J20" s="16">
        <v>26117</v>
      </c>
      <c r="K20" s="16">
        <f t="shared" si="3"/>
        <v>34086</v>
      </c>
      <c r="L20" s="14" t="s">
        <v>43</v>
      </c>
      <c r="M20" s="17" t="s">
        <v>44</v>
      </c>
      <c r="N20" s="16"/>
      <c r="O20" s="16"/>
      <c r="P20" s="16">
        <v>1894</v>
      </c>
      <c r="Q20" s="16">
        <v>3983</v>
      </c>
      <c r="R20" s="16"/>
      <c r="S20" s="16">
        <v>2092</v>
      </c>
      <c r="T20" s="16"/>
      <c r="U20" s="16">
        <v>26117</v>
      </c>
      <c r="V20" s="16">
        <f t="shared" si="11"/>
        <v>34086</v>
      </c>
      <c r="W20" s="14" t="s">
        <v>43</v>
      </c>
      <c r="X20" s="17" t="s">
        <v>44</v>
      </c>
      <c r="Y20" s="16">
        <f>N20-C20</f>
        <v>0</v>
      </c>
      <c r="Z20" s="16">
        <f t="shared" si="5"/>
        <v>0</v>
      </c>
      <c r="AA20" s="16">
        <f t="shared" si="5"/>
        <v>0</v>
      </c>
      <c r="AB20" s="16">
        <f t="shared" si="5"/>
        <v>0</v>
      </c>
      <c r="AC20" s="16">
        <f t="shared" si="5"/>
        <v>0</v>
      </c>
      <c r="AD20" s="16">
        <f t="shared" si="5"/>
        <v>0</v>
      </c>
      <c r="AE20" s="16">
        <f t="shared" si="5"/>
        <v>0</v>
      </c>
      <c r="AF20" s="16">
        <f t="shared" si="5"/>
        <v>0</v>
      </c>
      <c r="AG20" s="16">
        <f t="shared" si="5"/>
        <v>0</v>
      </c>
    </row>
    <row r="21" spans="1:33" s="10" customFormat="1" ht="31.5" x14ac:dyDescent="0.25">
      <c r="A21" s="14" t="s">
        <v>45</v>
      </c>
      <c r="B21" s="17" t="s">
        <v>46</v>
      </c>
      <c r="C21" s="16">
        <v>90319</v>
      </c>
      <c r="D21" s="16"/>
      <c r="E21" s="16">
        <v>46413</v>
      </c>
      <c r="F21" s="16">
        <v>1320323</v>
      </c>
      <c r="G21" s="16">
        <v>412841</v>
      </c>
      <c r="H21" s="16">
        <v>41127</v>
      </c>
      <c r="I21" s="16">
        <v>937292</v>
      </c>
      <c r="J21" s="16">
        <v>233576</v>
      </c>
      <c r="K21" s="16">
        <f t="shared" si="3"/>
        <v>3081891</v>
      </c>
      <c r="L21" s="14" t="s">
        <v>45</v>
      </c>
      <c r="M21" s="17" t="s">
        <v>46</v>
      </c>
      <c r="N21" s="16">
        <v>90319</v>
      </c>
      <c r="O21" s="16"/>
      <c r="P21" s="16">
        <v>46413</v>
      </c>
      <c r="Q21" s="16">
        <v>1320323</v>
      </c>
      <c r="R21" s="16">
        <v>412841</v>
      </c>
      <c r="S21" s="16">
        <v>41127</v>
      </c>
      <c r="T21" s="16">
        <v>937292</v>
      </c>
      <c r="U21" s="16">
        <v>233576</v>
      </c>
      <c r="V21" s="16">
        <f t="shared" si="11"/>
        <v>3081891</v>
      </c>
      <c r="W21" s="14" t="s">
        <v>45</v>
      </c>
      <c r="X21" s="17" t="s">
        <v>46</v>
      </c>
      <c r="Y21" s="16">
        <f>N21-C21</f>
        <v>0</v>
      </c>
      <c r="Z21" s="16">
        <f t="shared" si="5"/>
        <v>0</v>
      </c>
      <c r="AA21" s="16">
        <f t="shared" si="5"/>
        <v>0</v>
      </c>
      <c r="AB21" s="16">
        <f t="shared" si="5"/>
        <v>0</v>
      </c>
      <c r="AC21" s="16">
        <f t="shared" si="5"/>
        <v>0</v>
      </c>
      <c r="AD21" s="16">
        <f t="shared" si="5"/>
        <v>0</v>
      </c>
      <c r="AE21" s="16">
        <f t="shared" si="5"/>
        <v>0</v>
      </c>
      <c r="AF21" s="16">
        <f t="shared" si="5"/>
        <v>0</v>
      </c>
      <c r="AG21" s="16">
        <f t="shared" si="5"/>
        <v>0</v>
      </c>
    </row>
    <row r="22" spans="1:33" s="10" customFormat="1" x14ac:dyDescent="0.25">
      <c r="A22" s="14" t="s">
        <v>47</v>
      </c>
      <c r="B22" s="17" t="s">
        <v>48</v>
      </c>
      <c r="C22" s="16">
        <v>4470648</v>
      </c>
      <c r="D22" s="16">
        <v>6779535</v>
      </c>
      <c r="E22" s="16">
        <v>1378399</v>
      </c>
      <c r="F22" s="16">
        <v>1548347</v>
      </c>
      <c r="G22" s="16">
        <v>987780</v>
      </c>
      <c r="H22" s="16">
        <v>9182</v>
      </c>
      <c r="I22" s="16">
        <v>1462114</v>
      </c>
      <c r="J22" s="16">
        <v>603984</v>
      </c>
      <c r="K22" s="16">
        <f t="shared" si="3"/>
        <v>17239989</v>
      </c>
      <c r="L22" s="14" t="s">
        <v>47</v>
      </c>
      <c r="M22" s="17" t="s">
        <v>48</v>
      </c>
      <c r="N22" s="16">
        <v>4470648</v>
      </c>
      <c r="O22" s="16">
        <v>6779535</v>
      </c>
      <c r="P22" s="16">
        <v>1378399</v>
      </c>
      <c r="Q22" s="16">
        <v>1548347</v>
      </c>
      <c r="R22" s="16">
        <v>987780</v>
      </c>
      <c r="S22" s="16">
        <v>9182</v>
      </c>
      <c r="T22" s="16">
        <v>1462114</v>
      </c>
      <c r="U22" s="16">
        <v>603984</v>
      </c>
      <c r="V22" s="16">
        <f t="shared" si="11"/>
        <v>17239989</v>
      </c>
      <c r="W22" s="14" t="s">
        <v>47</v>
      </c>
      <c r="X22" s="17" t="s">
        <v>48</v>
      </c>
      <c r="Y22" s="16">
        <f t="shared" ref="Y22:Y28" si="12">N22-C22</f>
        <v>0</v>
      </c>
      <c r="Z22" s="16">
        <f t="shared" si="5"/>
        <v>0</v>
      </c>
      <c r="AA22" s="16">
        <f t="shared" si="5"/>
        <v>0</v>
      </c>
      <c r="AB22" s="16">
        <f t="shared" si="5"/>
        <v>0</v>
      </c>
      <c r="AC22" s="16">
        <f t="shared" si="5"/>
        <v>0</v>
      </c>
      <c r="AD22" s="16">
        <f t="shared" si="5"/>
        <v>0</v>
      </c>
      <c r="AE22" s="16">
        <f t="shared" si="5"/>
        <v>0</v>
      </c>
      <c r="AF22" s="16">
        <f t="shared" si="5"/>
        <v>0</v>
      </c>
      <c r="AG22" s="16">
        <f t="shared" si="5"/>
        <v>0</v>
      </c>
    </row>
    <row r="23" spans="1:33" s="10" customFormat="1" x14ac:dyDescent="0.25">
      <c r="A23" s="14" t="s">
        <v>49</v>
      </c>
      <c r="B23" s="17" t="s">
        <v>50</v>
      </c>
      <c r="C23" s="16"/>
      <c r="D23" s="16"/>
      <c r="E23" s="16"/>
      <c r="F23" s="16"/>
      <c r="G23" s="16"/>
      <c r="H23" s="16"/>
      <c r="I23" s="16">
        <v>8288</v>
      </c>
      <c r="J23" s="16"/>
      <c r="K23" s="16">
        <f t="shared" si="3"/>
        <v>8288</v>
      </c>
      <c r="L23" s="14" t="s">
        <v>49</v>
      </c>
      <c r="M23" s="17" t="s">
        <v>50</v>
      </c>
      <c r="N23" s="16"/>
      <c r="O23" s="16"/>
      <c r="P23" s="16"/>
      <c r="Q23" s="16"/>
      <c r="R23" s="16"/>
      <c r="S23" s="16"/>
      <c r="T23" s="16">
        <v>8288</v>
      </c>
      <c r="U23" s="16"/>
      <c r="V23" s="16">
        <f t="shared" si="11"/>
        <v>8288</v>
      </c>
      <c r="W23" s="14" t="s">
        <v>49</v>
      </c>
      <c r="X23" s="17" t="s">
        <v>50</v>
      </c>
      <c r="Y23" s="16">
        <f t="shared" si="12"/>
        <v>0</v>
      </c>
      <c r="Z23" s="16">
        <f t="shared" ref="Z23:Z74" si="13">O23-D23</f>
        <v>0</v>
      </c>
      <c r="AA23" s="16">
        <f t="shared" ref="AA23:AA74" si="14">P23-E23</f>
        <v>0</v>
      </c>
      <c r="AB23" s="16">
        <f t="shared" ref="AB23:AB74" si="15">Q23-F23</f>
        <v>0</v>
      </c>
      <c r="AC23" s="16">
        <f t="shared" ref="AC23:AC74" si="16">R23-G23</f>
        <v>0</v>
      </c>
      <c r="AD23" s="16">
        <f t="shared" ref="AD23:AD74" si="17">S23-H23</f>
        <v>0</v>
      </c>
      <c r="AE23" s="16">
        <f t="shared" ref="AE23:AE74" si="18">T23-I23</f>
        <v>0</v>
      </c>
      <c r="AF23" s="16">
        <f t="shared" ref="AF23:AF74" si="19">U23-J23</f>
        <v>0</v>
      </c>
      <c r="AG23" s="16">
        <f t="shared" ref="AG23:AG74" si="20">V23-K23</f>
        <v>0</v>
      </c>
    </row>
    <row r="24" spans="1:33" s="10" customFormat="1" x14ac:dyDescent="0.25">
      <c r="A24" s="14" t="s">
        <v>51</v>
      </c>
      <c r="B24" s="17" t="s">
        <v>52</v>
      </c>
      <c r="C24" s="16">
        <v>3188380</v>
      </c>
      <c r="D24" s="16">
        <v>114384</v>
      </c>
      <c r="E24" s="16"/>
      <c r="F24" s="16"/>
      <c r="G24" s="16"/>
      <c r="H24" s="16"/>
      <c r="I24" s="16"/>
      <c r="J24" s="16"/>
      <c r="K24" s="16">
        <f t="shared" si="3"/>
        <v>3302764</v>
      </c>
      <c r="L24" s="14" t="s">
        <v>51</v>
      </c>
      <c r="M24" s="17" t="s">
        <v>52</v>
      </c>
      <c r="N24" s="16">
        <v>3188380</v>
      </c>
      <c r="O24" s="16">
        <v>114384</v>
      </c>
      <c r="P24" s="16"/>
      <c r="Q24" s="16"/>
      <c r="R24" s="16"/>
      <c r="S24" s="16"/>
      <c r="T24" s="16"/>
      <c r="U24" s="16"/>
      <c r="V24" s="16">
        <f t="shared" si="11"/>
        <v>3302764</v>
      </c>
      <c r="W24" s="14" t="s">
        <v>51</v>
      </c>
      <c r="X24" s="17" t="s">
        <v>52</v>
      </c>
      <c r="Y24" s="16">
        <f t="shared" si="12"/>
        <v>0</v>
      </c>
      <c r="Z24" s="16">
        <f t="shared" si="13"/>
        <v>0</v>
      </c>
      <c r="AA24" s="16">
        <f t="shared" si="14"/>
        <v>0</v>
      </c>
      <c r="AB24" s="16">
        <f t="shared" si="15"/>
        <v>0</v>
      </c>
      <c r="AC24" s="16">
        <f t="shared" si="16"/>
        <v>0</v>
      </c>
      <c r="AD24" s="16">
        <f t="shared" si="17"/>
        <v>0</v>
      </c>
      <c r="AE24" s="16">
        <f t="shared" si="18"/>
        <v>0</v>
      </c>
      <c r="AF24" s="16">
        <f t="shared" si="19"/>
        <v>0</v>
      </c>
      <c r="AG24" s="16">
        <f t="shared" si="20"/>
        <v>0</v>
      </c>
    </row>
    <row r="25" spans="1:33" s="10" customFormat="1" ht="31.5" x14ac:dyDescent="0.25">
      <c r="A25" s="14" t="s">
        <v>53</v>
      </c>
      <c r="B25" s="17" t="s">
        <v>54</v>
      </c>
      <c r="C25" s="16"/>
      <c r="D25" s="16"/>
      <c r="E25" s="16"/>
      <c r="F25" s="16">
        <v>541915</v>
      </c>
      <c r="G25" s="16"/>
      <c r="H25" s="16">
        <v>691482</v>
      </c>
      <c r="I25" s="16">
        <v>149968</v>
      </c>
      <c r="J25" s="16">
        <v>176832</v>
      </c>
      <c r="K25" s="16">
        <f t="shared" si="3"/>
        <v>1560197</v>
      </c>
      <c r="L25" s="14" t="s">
        <v>53</v>
      </c>
      <c r="M25" s="17" t="s">
        <v>54</v>
      </c>
      <c r="N25" s="16"/>
      <c r="O25" s="16"/>
      <c r="P25" s="16"/>
      <c r="Q25" s="16">
        <v>541915</v>
      </c>
      <c r="R25" s="16"/>
      <c r="S25" s="16">
        <v>691482</v>
      </c>
      <c r="T25" s="16">
        <v>149968</v>
      </c>
      <c r="U25" s="16">
        <v>176832</v>
      </c>
      <c r="V25" s="16">
        <f t="shared" si="11"/>
        <v>1560197</v>
      </c>
      <c r="W25" s="14" t="s">
        <v>53</v>
      </c>
      <c r="X25" s="17" t="s">
        <v>54</v>
      </c>
      <c r="Y25" s="16">
        <f t="shared" si="12"/>
        <v>0</v>
      </c>
      <c r="Z25" s="16">
        <f t="shared" si="13"/>
        <v>0</v>
      </c>
      <c r="AA25" s="16">
        <f t="shared" si="14"/>
        <v>0</v>
      </c>
      <c r="AB25" s="16">
        <f t="shared" si="15"/>
        <v>0</v>
      </c>
      <c r="AC25" s="16">
        <f t="shared" si="16"/>
        <v>0</v>
      </c>
      <c r="AD25" s="16">
        <f t="shared" si="17"/>
        <v>0</v>
      </c>
      <c r="AE25" s="16">
        <f t="shared" si="18"/>
        <v>0</v>
      </c>
      <c r="AF25" s="16">
        <f t="shared" si="19"/>
        <v>0</v>
      </c>
      <c r="AG25" s="16">
        <f t="shared" si="20"/>
        <v>0</v>
      </c>
    </row>
    <row r="26" spans="1:33" s="10" customFormat="1" ht="31.5" x14ac:dyDescent="0.25">
      <c r="A26" s="14" t="s">
        <v>55</v>
      </c>
      <c r="B26" s="17" t="s">
        <v>56</v>
      </c>
      <c r="C26" s="16"/>
      <c r="D26" s="16"/>
      <c r="E26" s="16"/>
      <c r="F26" s="16">
        <v>58080</v>
      </c>
      <c r="G26" s="16"/>
      <c r="H26" s="16">
        <v>205661</v>
      </c>
      <c r="I26" s="16">
        <v>101185</v>
      </c>
      <c r="J26" s="16">
        <v>380743</v>
      </c>
      <c r="K26" s="16">
        <f t="shared" si="3"/>
        <v>745669</v>
      </c>
      <c r="L26" s="14" t="s">
        <v>55</v>
      </c>
      <c r="M26" s="17" t="s">
        <v>56</v>
      </c>
      <c r="N26" s="16"/>
      <c r="O26" s="16"/>
      <c r="P26" s="16"/>
      <c r="Q26" s="16">
        <v>58080</v>
      </c>
      <c r="R26" s="16"/>
      <c r="S26" s="16">
        <v>205661</v>
      </c>
      <c r="T26" s="16">
        <v>101185</v>
      </c>
      <c r="U26" s="16">
        <v>380743</v>
      </c>
      <c r="V26" s="16">
        <f t="shared" si="11"/>
        <v>745669</v>
      </c>
      <c r="W26" s="14" t="s">
        <v>55</v>
      </c>
      <c r="X26" s="17" t="s">
        <v>56</v>
      </c>
      <c r="Y26" s="16">
        <f t="shared" si="12"/>
        <v>0</v>
      </c>
      <c r="Z26" s="16">
        <f t="shared" si="13"/>
        <v>0</v>
      </c>
      <c r="AA26" s="16">
        <f t="shared" si="14"/>
        <v>0</v>
      </c>
      <c r="AB26" s="16">
        <f t="shared" si="15"/>
        <v>0</v>
      </c>
      <c r="AC26" s="16">
        <f t="shared" si="16"/>
        <v>0</v>
      </c>
      <c r="AD26" s="16">
        <f t="shared" si="17"/>
        <v>0</v>
      </c>
      <c r="AE26" s="16">
        <f t="shared" si="18"/>
        <v>0</v>
      </c>
      <c r="AF26" s="16">
        <f t="shared" si="19"/>
        <v>0</v>
      </c>
      <c r="AG26" s="16">
        <f t="shared" si="20"/>
        <v>0</v>
      </c>
    </row>
    <row r="27" spans="1:33" s="10" customFormat="1" x14ac:dyDescent="0.25">
      <c r="A27" s="14" t="s">
        <v>57</v>
      </c>
      <c r="B27" s="17" t="s">
        <v>58</v>
      </c>
      <c r="C27" s="16">
        <v>137460</v>
      </c>
      <c r="D27" s="16"/>
      <c r="E27" s="16">
        <v>132928</v>
      </c>
      <c r="F27" s="16">
        <v>330339</v>
      </c>
      <c r="G27" s="16">
        <v>111750</v>
      </c>
      <c r="H27" s="16">
        <v>245490</v>
      </c>
      <c r="I27" s="16">
        <v>173294</v>
      </c>
      <c r="J27" s="16">
        <v>614282</v>
      </c>
      <c r="K27" s="16">
        <f t="shared" si="3"/>
        <v>1745543</v>
      </c>
      <c r="L27" s="14" t="s">
        <v>57</v>
      </c>
      <c r="M27" s="17" t="s">
        <v>58</v>
      </c>
      <c r="N27" s="16">
        <v>137460</v>
      </c>
      <c r="O27" s="16"/>
      <c r="P27" s="16">
        <v>132928</v>
      </c>
      <c r="Q27" s="16">
        <v>330339</v>
      </c>
      <c r="R27" s="16">
        <v>111750</v>
      </c>
      <c r="S27" s="16">
        <v>245490</v>
      </c>
      <c r="T27" s="16">
        <v>173294</v>
      </c>
      <c r="U27" s="16">
        <v>614282</v>
      </c>
      <c r="V27" s="16">
        <f t="shared" si="11"/>
        <v>1745543</v>
      </c>
      <c r="W27" s="14" t="s">
        <v>57</v>
      </c>
      <c r="X27" s="17" t="s">
        <v>58</v>
      </c>
      <c r="Y27" s="16">
        <f t="shared" si="12"/>
        <v>0</v>
      </c>
      <c r="Z27" s="16">
        <f t="shared" si="13"/>
        <v>0</v>
      </c>
      <c r="AA27" s="16">
        <f t="shared" si="14"/>
        <v>0</v>
      </c>
      <c r="AB27" s="16">
        <f t="shared" si="15"/>
        <v>0</v>
      </c>
      <c r="AC27" s="16">
        <f t="shared" si="16"/>
        <v>0</v>
      </c>
      <c r="AD27" s="16">
        <f t="shared" si="17"/>
        <v>0</v>
      </c>
      <c r="AE27" s="16">
        <f t="shared" si="18"/>
        <v>0</v>
      </c>
      <c r="AF27" s="16">
        <f t="shared" si="19"/>
        <v>0</v>
      </c>
      <c r="AG27" s="16">
        <f t="shared" si="20"/>
        <v>0</v>
      </c>
    </row>
    <row r="28" spans="1:33" s="10" customFormat="1" ht="31.5" x14ac:dyDescent="0.25">
      <c r="A28" s="14" t="s">
        <v>59</v>
      </c>
      <c r="B28" s="17" t="s">
        <v>68</v>
      </c>
      <c r="C28" s="16"/>
      <c r="D28" s="16"/>
      <c r="E28" s="16"/>
      <c r="F28" s="16"/>
      <c r="G28" s="16"/>
      <c r="H28" s="16"/>
      <c r="I28" s="16">
        <v>5250</v>
      </c>
      <c r="J28" s="16"/>
      <c r="K28" s="16">
        <f t="shared" si="3"/>
        <v>5250</v>
      </c>
      <c r="L28" s="14" t="s">
        <v>59</v>
      </c>
      <c r="M28" s="17" t="s">
        <v>68</v>
      </c>
      <c r="N28" s="16"/>
      <c r="O28" s="16"/>
      <c r="P28" s="16"/>
      <c r="Q28" s="16"/>
      <c r="R28" s="16"/>
      <c r="S28" s="16"/>
      <c r="T28" s="16">
        <v>5250</v>
      </c>
      <c r="U28" s="16"/>
      <c r="V28" s="16">
        <f t="shared" si="11"/>
        <v>5250</v>
      </c>
      <c r="W28" s="14" t="s">
        <v>59</v>
      </c>
      <c r="X28" s="17" t="s">
        <v>68</v>
      </c>
      <c r="Y28" s="16">
        <f t="shared" si="12"/>
        <v>0</v>
      </c>
      <c r="Z28" s="16">
        <f t="shared" si="13"/>
        <v>0</v>
      </c>
      <c r="AA28" s="16">
        <f t="shared" si="14"/>
        <v>0</v>
      </c>
      <c r="AB28" s="16">
        <f t="shared" si="15"/>
        <v>0</v>
      </c>
      <c r="AC28" s="16">
        <f t="shared" si="16"/>
        <v>0</v>
      </c>
      <c r="AD28" s="16">
        <f t="shared" si="17"/>
        <v>0</v>
      </c>
      <c r="AE28" s="16">
        <f t="shared" si="18"/>
        <v>0</v>
      </c>
      <c r="AF28" s="16">
        <f t="shared" si="19"/>
        <v>0</v>
      </c>
      <c r="AG28" s="16">
        <f t="shared" si="20"/>
        <v>0</v>
      </c>
    </row>
    <row r="29" spans="1:33" s="10" customFormat="1" x14ac:dyDescent="0.25">
      <c r="A29" s="14" t="s">
        <v>74</v>
      </c>
      <c r="B29" s="17" t="s">
        <v>60</v>
      </c>
      <c r="C29" s="16"/>
      <c r="D29" s="16"/>
      <c r="E29" s="16">
        <v>415453</v>
      </c>
      <c r="F29" s="16">
        <v>359705</v>
      </c>
      <c r="G29" s="16">
        <v>825911</v>
      </c>
      <c r="H29" s="16">
        <v>174095</v>
      </c>
      <c r="I29" s="16">
        <v>69477</v>
      </c>
      <c r="J29" s="16">
        <v>17501</v>
      </c>
      <c r="K29" s="16">
        <f t="shared" si="3"/>
        <v>1862142</v>
      </c>
      <c r="L29" s="14" t="s">
        <v>74</v>
      </c>
      <c r="M29" s="17" t="s">
        <v>60</v>
      </c>
      <c r="N29" s="16"/>
      <c r="O29" s="16"/>
      <c r="P29" s="16">
        <v>415453</v>
      </c>
      <c r="Q29" s="16">
        <v>359705</v>
      </c>
      <c r="R29" s="16">
        <v>825911</v>
      </c>
      <c r="S29" s="16">
        <v>174095</v>
      </c>
      <c r="T29" s="16">
        <v>69477</v>
      </c>
      <c r="U29" s="16">
        <v>17501</v>
      </c>
      <c r="V29" s="16">
        <f t="shared" si="11"/>
        <v>1862142</v>
      </c>
      <c r="W29" s="14" t="s">
        <v>74</v>
      </c>
      <c r="X29" s="17" t="s">
        <v>60</v>
      </c>
      <c r="Y29" s="16">
        <f t="shared" ref="Y29:Y74" si="21">N29-C29</f>
        <v>0</v>
      </c>
      <c r="Z29" s="16">
        <f t="shared" si="13"/>
        <v>0</v>
      </c>
      <c r="AA29" s="16">
        <f t="shared" si="14"/>
        <v>0</v>
      </c>
      <c r="AB29" s="16">
        <f t="shared" si="15"/>
        <v>0</v>
      </c>
      <c r="AC29" s="16">
        <f t="shared" si="16"/>
        <v>0</v>
      </c>
      <c r="AD29" s="16">
        <f t="shared" si="17"/>
        <v>0</v>
      </c>
      <c r="AE29" s="16">
        <f t="shared" si="18"/>
        <v>0</v>
      </c>
      <c r="AF29" s="16">
        <f t="shared" si="19"/>
        <v>0</v>
      </c>
      <c r="AG29" s="16">
        <f t="shared" si="20"/>
        <v>0</v>
      </c>
    </row>
    <row r="30" spans="1:33" s="10" customFormat="1" x14ac:dyDescent="0.25">
      <c r="A30" s="14" t="s">
        <v>75</v>
      </c>
      <c r="B30" s="17" t="s">
        <v>61</v>
      </c>
      <c r="C30" s="16"/>
      <c r="D30" s="16"/>
      <c r="E30" s="16">
        <v>571212</v>
      </c>
      <c r="F30" s="16">
        <v>556808</v>
      </c>
      <c r="G30" s="16">
        <v>1052934</v>
      </c>
      <c r="H30" s="16">
        <v>200566</v>
      </c>
      <c r="I30" s="16">
        <v>50895</v>
      </c>
      <c r="J30" s="16">
        <v>54770</v>
      </c>
      <c r="K30" s="16">
        <f t="shared" si="3"/>
        <v>2487185</v>
      </c>
      <c r="L30" s="14" t="s">
        <v>75</v>
      </c>
      <c r="M30" s="17" t="s">
        <v>61</v>
      </c>
      <c r="N30" s="16"/>
      <c r="O30" s="16"/>
      <c r="P30" s="16">
        <v>571212</v>
      </c>
      <c r="Q30" s="16">
        <v>556808</v>
      </c>
      <c r="R30" s="16">
        <v>1052934</v>
      </c>
      <c r="S30" s="16">
        <v>200566</v>
      </c>
      <c r="T30" s="16">
        <v>50895</v>
      </c>
      <c r="U30" s="16">
        <v>54770</v>
      </c>
      <c r="V30" s="16">
        <f t="shared" si="11"/>
        <v>2487185</v>
      </c>
      <c r="W30" s="14" t="s">
        <v>75</v>
      </c>
      <c r="X30" s="17" t="s">
        <v>61</v>
      </c>
      <c r="Y30" s="16">
        <f t="shared" si="21"/>
        <v>0</v>
      </c>
      <c r="Z30" s="16">
        <f t="shared" si="13"/>
        <v>0</v>
      </c>
      <c r="AA30" s="16">
        <f t="shared" si="14"/>
        <v>0</v>
      </c>
      <c r="AB30" s="16">
        <f t="shared" si="15"/>
        <v>0</v>
      </c>
      <c r="AC30" s="16">
        <f t="shared" si="16"/>
        <v>0</v>
      </c>
      <c r="AD30" s="16">
        <f t="shared" si="17"/>
        <v>0</v>
      </c>
      <c r="AE30" s="16">
        <f t="shared" si="18"/>
        <v>0</v>
      </c>
      <c r="AF30" s="16">
        <f t="shared" si="19"/>
        <v>0</v>
      </c>
      <c r="AG30" s="16">
        <f t="shared" si="20"/>
        <v>0</v>
      </c>
    </row>
    <row r="31" spans="1:33" s="10" customFormat="1" x14ac:dyDescent="0.25">
      <c r="A31" s="14" t="s">
        <v>77</v>
      </c>
      <c r="B31" s="17" t="s">
        <v>62</v>
      </c>
      <c r="C31" s="16">
        <v>6240</v>
      </c>
      <c r="D31" s="16">
        <v>2131627</v>
      </c>
      <c r="E31" s="16">
        <v>1106431</v>
      </c>
      <c r="F31" s="16">
        <v>1669986</v>
      </c>
      <c r="G31" s="16">
        <v>1118598</v>
      </c>
      <c r="H31" s="16">
        <v>369783</v>
      </c>
      <c r="I31" s="16">
        <v>224539</v>
      </c>
      <c r="J31" s="16">
        <v>246510</v>
      </c>
      <c r="K31" s="16">
        <f t="shared" si="3"/>
        <v>6873714</v>
      </c>
      <c r="L31" s="14" t="s">
        <v>77</v>
      </c>
      <c r="M31" s="17" t="s">
        <v>62</v>
      </c>
      <c r="N31" s="16">
        <v>6240</v>
      </c>
      <c r="O31" s="16">
        <v>2131627</v>
      </c>
      <c r="P31" s="16">
        <v>1106431</v>
      </c>
      <c r="Q31" s="16">
        <v>1669986</v>
      </c>
      <c r="R31" s="16">
        <v>1118598</v>
      </c>
      <c r="S31" s="16">
        <v>369783</v>
      </c>
      <c r="T31" s="16">
        <v>224539</v>
      </c>
      <c r="U31" s="16">
        <v>246510</v>
      </c>
      <c r="V31" s="16">
        <f t="shared" si="11"/>
        <v>6873714</v>
      </c>
      <c r="W31" s="14" t="s">
        <v>77</v>
      </c>
      <c r="X31" s="17" t="s">
        <v>62</v>
      </c>
      <c r="Y31" s="16">
        <f t="shared" si="21"/>
        <v>0</v>
      </c>
      <c r="Z31" s="16">
        <f t="shared" si="13"/>
        <v>0</v>
      </c>
      <c r="AA31" s="16">
        <f t="shared" si="14"/>
        <v>0</v>
      </c>
      <c r="AB31" s="16">
        <f t="shared" si="15"/>
        <v>0</v>
      </c>
      <c r="AC31" s="16">
        <f t="shared" si="16"/>
        <v>0</v>
      </c>
      <c r="AD31" s="16">
        <f t="shared" si="17"/>
        <v>0</v>
      </c>
      <c r="AE31" s="16">
        <f t="shared" si="18"/>
        <v>0</v>
      </c>
      <c r="AF31" s="16">
        <f t="shared" si="19"/>
        <v>0</v>
      </c>
      <c r="AG31" s="16">
        <f t="shared" si="20"/>
        <v>0</v>
      </c>
    </row>
    <row r="32" spans="1:33" s="10" customFormat="1" x14ac:dyDescent="0.25">
      <c r="A32" s="14" t="s">
        <v>78</v>
      </c>
      <c r="B32" s="17" t="s">
        <v>63</v>
      </c>
      <c r="C32" s="16">
        <v>5683534</v>
      </c>
      <c r="D32" s="16">
        <v>44226</v>
      </c>
      <c r="E32" s="16">
        <v>1763116</v>
      </c>
      <c r="F32" s="16">
        <v>715237</v>
      </c>
      <c r="G32" s="16">
        <v>644372</v>
      </c>
      <c r="H32" s="16">
        <v>657212</v>
      </c>
      <c r="I32" s="16">
        <v>180730</v>
      </c>
      <c r="J32" s="16">
        <v>875183</v>
      </c>
      <c r="K32" s="16">
        <f t="shared" si="3"/>
        <v>10563610</v>
      </c>
      <c r="L32" s="14" t="s">
        <v>78</v>
      </c>
      <c r="M32" s="17" t="s">
        <v>63</v>
      </c>
      <c r="N32" s="16">
        <v>5683534</v>
      </c>
      <c r="O32" s="16">
        <v>44226</v>
      </c>
      <c r="P32" s="16">
        <v>1763116</v>
      </c>
      <c r="Q32" s="16">
        <v>715237</v>
      </c>
      <c r="R32" s="16">
        <v>644372</v>
      </c>
      <c r="S32" s="16">
        <v>657212</v>
      </c>
      <c r="T32" s="16">
        <v>180730</v>
      </c>
      <c r="U32" s="16">
        <v>875183</v>
      </c>
      <c r="V32" s="16">
        <f t="shared" si="11"/>
        <v>10563610</v>
      </c>
      <c r="W32" s="14" t="s">
        <v>78</v>
      </c>
      <c r="X32" s="17" t="s">
        <v>63</v>
      </c>
      <c r="Y32" s="16">
        <f t="shared" si="21"/>
        <v>0</v>
      </c>
      <c r="Z32" s="16">
        <f t="shared" si="13"/>
        <v>0</v>
      </c>
      <c r="AA32" s="16">
        <f t="shared" si="14"/>
        <v>0</v>
      </c>
      <c r="AB32" s="16">
        <f t="shared" si="15"/>
        <v>0</v>
      </c>
      <c r="AC32" s="16">
        <f t="shared" si="16"/>
        <v>0</v>
      </c>
      <c r="AD32" s="16">
        <f t="shared" si="17"/>
        <v>0</v>
      </c>
      <c r="AE32" s="16">
        <f t="shared" si="18"/>
        <v>0</v>
      </c>
      <c r="AF32" s="16">
        <f t="shared" si="19"/>
        <v>0</v>
      </c>
      <c r="AG32" s="16">
        <f t="shared" si="20"/>
        <v>0</v>
      </c>
    </row>
    <row r="33" spans="1:33" s="10" customFormat="1" ht="47.25" x14ac:dyDescent="0.25">
      <c r="A33" s="14" t="s">
        <v>79</v>
      </c>
      <c r="B33" s="17" t="s">
        <v>64</v>
      </c>
      <c r="C33" s="16">
        <v>4612719</v>
      </c>
      <c r="D33" s="16">
        <f>105135-1</f>
        <v>105134</v>
      </c>
      <c r="E33" s="16">
        <f>49223-1</f>
        <v>49222</v>
      </c>
      <c r="F33" s="16">
        <v>1064551</v>
      </c>
      <c r="G33" s="16">
        <f>1843709-1</f>
        <v>1843708</v>
      </c>
      <c r="H33" s="16"/>
      <c r="I33" s="16">
        <f>1-1</f>
        <v>0</v>
      </c>
      <c r="J33" s="16">
        <v>1006439</v>
      </c>
      <c r="K33" s="16">
        <f>SUM(C33:J33)</f>
        <v>8681773</v>
      </c>
      <c r="L33" s="14" t="s">
        <v>79</v>
      </c>
      <c r="M33" s="17" t="s">
        <v>64</v>
      </c>
      <c r="N33" s="16">
        <v>4612719</v>
      </c>
      <c r="O33" s="16">
        <f>105135-1</f>
        <v>105134</v>
      </c>
      <c r="P33" s="16">
        <f>49223-1</f>
        <v>49222</v>
      </c>
      <c r="Q33" s="16">
        <v>1064551</v>
      </c>
      <c r="R33" s="16">
        <f>1843709-1</f>
        <v>1843708</v>
      </c>
      <c r="S33" s="16"/>
      <c r="T33" s="16">
        <f>1-1</f>
        <v>0</v>
      </c>
      <c r="U33" s="16">
        <v>1006439</v>
      </c>
      <c r="V33" s="16">
        <f>SUM(N33:U33)</f>
        <v>8681773</v>
      </c>
      <c r="W33" s="14" t="s">
        <v>79</v>
      </c>
      <c r="X33" s="17" t="s">
        <v>64</v>
      </c>
      <c r="Y33" s="16">
        <f t="shared" si="21"/>
        <v>0</v>
      </c>
      <c r="Z33" s="16">
        <f t="shared" si="13"/>
        <v>0</v>
      </c>
      <c r="AA33" s="16">
        <f t="shared" si="14"/>
        <v>0</v>
      </c>
      <c r="AB33" s="16">
        <f t="shared" si="15"/>
        <v>0</v>
      </c>
      <c r="AC33" s="16">
        <f t="shared" si="16"/>
        <v>0</v>
      </c>
      <c r="AD33" s="16">
        <f t="shared" si="17"/>
        <v>0</v>
      </c>
      <c r="AE33" s="16">
        <f t="shared" si="18"/>
        <v>0</v>
      </c>
      <c r="AF33" s="16">
        <f t="shared" si="19"/>
        <v>0</v>
      </c>
      <c r="AG33" s="16">
        <f t="shared" si="20"/>
        <v>0</v>
      </c>
    </row>
    <row r="34" spans="1:33" s="10" customFormat="1" ht="220.5" x14ac:dyDescent="0.25">
      <c r="A34" s="14" t="s">
        <v>80</v>
      </c>
      <c r="B34" s="18" t="s">
        <v>65</v>
      </c>
      <c r="C34" s="16"/>
      <c r="D34" s="16"/>
      <c r="E34" s="16">
        <v>341944</v>
      </c>
      <c r="F34" s="16">
        <v>2170363</v>
      </c>
      <c r="G34" s="16">
        <v>759186</v>
      </c>
      <c r="H34" s="16">
        <v>909942</v>
      </c>
      <c r="I34" s="16">
        <v>31770</v>
      </c>
      <c r="J34" s="16"/>
      <c r="K34" s="16">
        <v>4213205</v>
      </c>
      <c r="L34" s="14" t="s">
        <v>80</v>
      </c>
      <c r="M34" s="18" t="s">
        <v>65</v>
      </c>
      <c r="N34" s="16"/>
      <c r="O34" s="16"/>
      <c r="P34" s="16">
        <v>341944</v>
      </c>
      <c r="Q34" s="16">
        <v>2170363</v>
      </c>
      <c r="R34" s="16">
        <v>759186</v>
      </c>
      <c r="S34" s="16">
        <v>909942</v>
      </c>
      <c r="T34" s="16">
        <v>31770</v>
      </c>
      <c r="U34" s="16"/>
      <c r="V34" s="16">
        <v>4213205</v>
      </c>
      <c r="W34" s="14" t="s">
        <v>80</v>
      </c>
      <c r="X34" s="18" t="s">
        <v>65</v>
      </c>
      <c r="Y34" s="16">
        <f t="shared" si="21"/>
        <v>0</v>
      </c>
      <c r="Z34" s="16">
        <f t="shared" si="13"/>
        <v>0</v>
      </c>
      <c r="AA34" s="16">
        <f t="shared" si="14"/>
        <v>0</v>
      </c>
      <c r="AB34" s="16">
        <f t="shared" si="15"/>
        <v>0</v>
      </c>
      <c r="AC34" s="16">
        <f t="shared" si="16"/>
        <v>0</v>
      </c>
      <c r="AD34" s="16">
        <f t="shared" si="17"/>
        <v>0</v>
      </c>
      <c r="AE34" s="16">
        <f t="shared" si="18"/>
        <v>0</v>
      </c>
      <c r="AF34" s="16">
        <f t="shared" si="19"/>
        <v>0</v>
      </c>
      <c r="AG34" s="16">
        <f t="shared" si="20"/>
        <v>0</v>
      </c>
    </row>
    <row r="35" spans="1:33" s="10" customFormat="1" ht="7.5" customHeight="1" x14ac:dyDescent="0.25">
      <c r="A35" s="14"/>
      <c r="B35" s="18"/>
      <c r="C35" s="16"/>
      <c r="D35" s="16"/>
      <c r="E35" s="16"/>
      <c r="F35" s="16"/>
      <c r="G35" s="16"/>
      <c r="H35" s="16"/>
      <c r="I35" s="16"/>
      <c r="J35" s="16"/>
      <c r="K35" s="16"/>
      <c r="L35" s="14"/>
      <c r="M35" s="18"/>
      <c r="N35" s="16"/>
      <c r="O35" s="16"/>
      <c r="P35" s="16"/>
      <c r="Q35" s="16"/>
      <c r="R35" s="16"/>
      <c r="S35" s="16"/>
      <c r="T35" s="16"/>
      <c r="U35" s="16"/>
      <c r="V35" s="16"/>
      <c r="W35" s="14"/>
      <c r="X35" s="18"/>
      <c r="Y35" s="16">
        <f t="shared" si="21"/>
        <v>0</v>
      </c>
      <c r="Z35" s="16">
        <f t="shared" si="13"/>
        <v>0</v>
      </c>
      <c r="AA35" s="16">
        <f t="shared" si="14"/>
        <v>0</v>
      </c>
      <c r="AB35" s="16">
        <f t="shared" si="15"/>
        <v>0</v>
      </c>
      <c r="AC35" s="16">
        <f t="shared" si="16"/>
        <v>0</v>
      </c>
      <c r="AD35" s="16">
        <f t="shared" si="17"/>
        <v>0</v>
      </c>
      <c r="AE35" s="16">
        <f t="shared" si="18"/>
        <v>0</v>
      </c>
      <c r="AF35" s="16">
        <f t="shared" si="19"/>
        <v>0</v>
      </c>
      <c r="AG35" s="16">
        <f t="shared" si="20"/>
        <v>0</v>
      </c>
    </row>
    <row r="36" spans="1:33" s="10" customFormat="1" x14ac:dyDescent="0.25">
      <c r="A36" s="19" t="s">
        <v>16</v>
      </c>
      <c r="B36" s="20" t="s">
        <v>12</v>
      </c>
      <c r="C36" s="21">
        <f>C37+C42</f>
        <v>421588408</v>
      </c>
      <c r="D36" s="21">
        <f>D37+D42</f>
        <v>32408788</v>
      </c>
      <c r="E36" s="21">
        <f>E37+E42</f>
        <v>188284776</v>
      </c>
      <c r="F36" s="21">
        <f t="shared" ref="F36:J36" si="22">F37+F42</f>
        <v>149353652</v>
      </c>
      <c r="G36" s="21">
        <f t="shared" si="22"/>
        <v>72372701</v>
      </c>
      <c r="H36" s="21">
        <f t="shared" si="22"/>
        <v>119579396</v>
      </c>
      <c r="I36" s="21">
        <f t="shared" si="22"/>
        <v>81285976</v>
      </c>
      <c r="J36" s="21">
        <f t="shared" si="22"/>
        <v>37284180</v>
      </c>
      <c r="K36" s="22">
        <f>SUM(C36:J36)</f>
        <v>1102157877</v>
      </c>
      <c r="L36" s="19" t="s">
        <v>16</v>
      </c>
      <c r="M36" s="20" t="s">
        <v>12</v>
      </c>
      <c r="N36" s="21">
        <f>N37+N42</f>
        <v>421588408</v>
      </c>
      <c r="O36" s="21">
        <f>O37+O42</f>
        <v>32408788</v>
      </c>
      <c r="P36" s="21">
        <f>P37+P42</f>
        <v>188284776</v>
      </c>
      <c r="Q36" s="21">
        <f t="shared" ref="Q36:U36" si="23">Q37+Q42</f>
        <v>149353652</v>
      </c>
      <c r="R36" s="21">
        <f t="shared" si="23"/>
        <v>72372701</v>
      </c>
      <c r="S36" s="21">
        <f t="shared" si="23"/>
        <v>119579396</v>
      </c>
      <c r="T36" s="21">
        <f t="shared" si="23"/>
        <v>81285976</v>
      </c>
      <c r="U36" s="21">
        <f t="shared" si="23"/>
        <v>37284180</v>
      </c>
      <c r="V36" s="22">
        <f>SUM(N36:U36)</f>
        <v>1102157877</v>
      </c>
      <c r="W36" s="19" t="s">
        <v>16</v>
      </c>
      <c r="X36" s="20" t="s">
        <v>12</v>
      </c>
      <c r="Y36" s="16">
        <f t="shared" si="21"/>
        <v>0</v>
      </c>
      <c r="Z36" s="16">
        <f t="shared" si="13"/>
        <v>0</v>
      </c>
      <c r="AA36" s="16">
        <f t="shared" si="14"/>
        <v>0</v>
      </c>
      <c r="AB36" s="16">
        <f t="shared" si="15"/>
        <v>0</v>
      </c>
      <c r="AC36" s="16">
        <f t="shared" si="16"/>
        <v>0</v>
      </c>
      <c r="AD36" s="16">
        <f t="shared" si="17"/>
        <v>0</v>
      </c>
      <c r="AE36" s="16">
        <f t="shared" si="18"/>
        <v>0</v>
      </c>
      <c r="AF36" s="16">
        <f t="shared" si="19"/>
        <v>0</v>
      </c>
      <c r="AG36" s="16">
        <f t="shared" si="20"/>
        <v>0</v>
      </c>
    </row>
    <row r="37" spans="1:33" s="10" customFormat="1" x14ac:dyDescent="0.25">
      <c r="A37" s="23" t="s">
        <v>22</v>
      </c>
      <c r="B37" s="24" t="s">
        <v>30</v>
      </c>
      <c r="C37" s="25">
        <f>56727717+752490+34300417</f>
        <v>91780624</v>
      </c>
      <c r="D37" s="25">
        <f>12525992-3276482</f>
        <v>9249510</v>
      </c>
      <c r="E37" s="25">
        <v>34611462</v>
      </c>
      <c r="F37" s="25">
        <f>24517427-750387</f>
        <v>23767040</v>
      </c>
      <c r="G37" s="25">
        <v>10609937</v>
      </c>
      <c r="H37" s="25">
        <f>20446434+156562</f>
        <v>20602996</v>
      </c>
      <c r="I37" s="25">
        <v>16976753</v>
      </c>
      <c r="J37" s="25">
        <f>7673779-148826</f>
        <v>7524953</v>
      </c>
      <c r="K37" s="26">
        <f t="shared" ref="K37:K42" si="24">SUM(C37:J37)</f>
        <v>215123275</v>
      </c>
      <c r="L37" s="23" t="s">
        <v>22</v>
      </c>
      <c r="M37" s="24" t="s">
        <v>30</v>
      </c>
      <c r="N37" s="25">
        <f>56727717+752490+34300417</f>
        <v>91780624</v>
      </c>
      <c r="O37" s="25">
        <f>12525992-3276482</f>
        <v>9249510</v>
      </c>
      <c r="P37" s="25">
        <v>34611462</v>
      </c>
      <c r="Q37" s="25">
        <f>24517427-750387</f>
        <v>23767040</v>
      </c>
      <c r="R37" s="25">
        <v>10609937</v>
      </c>
      <c r="S37" s="25">
        <f>20446434+156562</f>
        <v>20602996</v>
      </c>
      <c r="T37" s="25">
        <v>16976753</v>
      </c>
      <c r="U37" s="25">
        <f>7673779-148826</f>
        <v>7524953</v>
      </c>
      <c r="V37" s="26">
        <f t="shared" ref="V37:V42" si="25">SUM(N37:U37)</f>
        <v>215123275</v>
      </c>
      <c r="W37" s="23" t="s">
        <v>22</v>
      </c>
      <c r="X37" s="24" t="s">
        <v>30</v>
      </c>
      <c r="Y37" s="16">
        <f t="shared" si="21"/>
        <v>0</v>
      </c>
      <c r="Z37" s="16">
        <f t="shared" si="13"/>
        <v>0</v>
      </c>
      <c r="AA37" s="16">
        <f t="shared" si="14"/>
        <v>0</v>
      </c>
      <c r="AB37" s="16">
        <f t="shared" si="15"/>
        <v>0</v>
      </c>
      <c r="AC37" s="16">
        <f t="shared" si="16"/>
        <v>0</v>
      </c>
      <c r="AD37" s="16">
        <f t="shared" si="17"/>
        <v>0</v>
      </c>
      <c r="AE37" s="16">
        <f t="shared" si="18"/>
        <v>0</v>
      </c>
      <c r="AF37" s="16">
        <f t="shared" si="19"/>
        <v>0</v>
      </c>
      <c r="AG37" s="16">
        <f t="shared" si="20"/>
        <v>0</v>
      </c>
    </row>
    <row r="38" spans="1:33" s="10" customFormat="1" ht="31.5" x14ac:dyDescent="0.25">
      <c r="A38" s="27" t="s">
        <v>102</v>
      </c>
      <c r="B38" s="28" t="s">
        <v>25</v>
      </c>
      <c r="C38" s="29">
        <v>5411348</v>
      </c>
      <c r="D38" s="29">
        <v>2685218</v>
      </c>
      <c r="E38" s="29">
        <v>1882650</v>
      </c>
      <c r="F38" s="29">
        <v>3049144</v>
      </c>
      <c r="G38" s="29">
        <v>923275</v>
      </c>
      <c r="H38" s="29">
        <v>1837753</v>
      </c>
      <c r="I38" s="29">
        <v>818085</v>
      </c>
      <c r="J38" s="29">
        <v>412164</v>
      </c>
      <c r="K38" s="26">
        <f t="shared" si="24"/>
        <v>17019637</v>
      </c>
      <c r="L38" s="27" t="s">
        <v>102</v>
      </c>
      <c r="M38" s="28" t="s">
        <v>25</v>
      </c>
      <c r="N38" s="29">
        <v>5411348</v>
      </c>
      <c r="O38" s="29">
        <v>2685218</v>
      </c>
      <c r="P38" s="29">
        <v>1882650</v>
      </c>
      <c r="Q38" s="29">
        <v>3049144</v>
      </c>
      <c r="R38" s="29">
        <v>923275</v>
      </c>
      <c r="S38" s="29">
        <v>1837753</v>
      </c>
      <c r="T38" s="29">
        <v>818085</v>
      </c>
      <c r="U38" s="29">
        <v>412164</v>
      </c>
      <c r="V38" s="26">
        <f t="shared" si="25"/>
        <v>17019637</v>
      </c>
      <c r="W38" s="27" t="s">
        <v>102</v>
      </c>
      <c r="X38" s="28" t="s">
        <v>25</v>
      </c>
      <c r="Y38" s="16">
        <f t="shared" si="21"/>
        <v>0</v>
      </c>
      <c r="Z38" s="16">
        <f t="shared" si="13"/>
        <v>0</v>
      </c>
      <c r="AA38" s="16">
        <f t="shared" si="14"/>
        <v>0</v>
      </c>
      <c r="AB38" s="16">
        <f t="shared" si="15"/>
        <v>0</v>
      </c>
      <c r="AC38" s="16">
        <f t="shared" si="16"/>
        <v>0</v>
      </c>
      <c r="AD38" s="16">
        <f t="shared" si="17"/>
        <v>0</v>
      </c>
      <c r="AE38" s="16">
        <f t="shared" si="18"/>
        <v>0</v>
      </c>
      <c r="AF38" s="16">
        <f t="shared" si="19"/>
        <v>0</v>
      </c>
      <c r="AG38" s="16">
        <f t="shared" si="20"/>
        <v>0</v>
      </c>
    </row>
    <row r="39" spans="1:33" s="10" customFormat="1" ht="31.5" x14ac:dyDescent="0.25">
      <c r="A39" s="27" t="s">
        <v>103</v>
      </c>
      <c r="B39" s="28" t="s">
        <v>26</v>
      </c>
      <c r="C39" s="29">
        <f>24759545+752490</f>
        <v>25512035</v>
      </c>
      <c r="D39" s="29">
        <v>784523</v>
      </c>
      <c r="E39" s="29">
        <v>19529028</v>
      </c>
      <c r="F39" s="29">
        <v>7781821</v>
      </c>
      <c r="G39" s="29">
        <v>4322704</v>
      </c>
      <c r="H39" s="29">
        <v>7325927</v>
      </c>
      <c r="I39" s="29">
        <v>6110394</v>
      </c>
      <c r="J39" s="29">
        <v>2539261</v>
      </c>
      <c r="K39" s="26">
        <f t="shared" si="24"/>
        <v>73905693</v>
      </c>
      <c r="L39" s="27" t="s">
        <v>103</v>
      </c>
      <c r="M39" s="28" t="s">
        <v>26</v>
      </c>
      <c r="N39" s="29">
        <f>24759545+752490</f>
        <v>25512035</v>
      </c>
      <c r="O39" s="29">
        <v>784523</v>
      </c>
      <c r="P39" s="29">
        <v>19529028</v>
      </c>
      <c r="Q39" s="29">
        <v>7781821</v>
      </c>
      <c r="R39" s="29">
        <v>4322704</v>
      </c>
      <c r="S39" s="29">
        <v>7325927</v>
      </c>
      <c r="T39" s="29">
        <v>6110394</v>
      </c>
      <c r="U39" s="29">
        <v>2539261</v>
      </c>
      <c r="V39" s="26">
        <f t="shared" si="25"/>
        <v>73905693</v>
      </c>
      <c r="W39" s="27" t="s">
        <v>103</v>
      </c>
      <c r="X39" s="28" t="s">
        <v>26</v>
      </c>
      <c r="Y39" s="16">
        <f t="shared" si="21"/>
        <v>0</v>
      </c>
      <c r="Z39" s="16">
        <f t="shared" si="13"/>
        <v>0</v>
      </c>
      <c r="AA39" s="16">
        <f t="shared" si="14"/>
        <v>0</v>
      </c>
      <c r="AB39" s="16">
        <f t="shared" si="15"/>
        <v>0</v>
      </c>
      <c r="AC39" s="16">
        <f t="shared" si="16"/>
        <v>0</v>
      </c>
      <c r="AD39" s="16">
        <f t="shared" si="17"/>
        <v>0</v>
      </c>
      <c r="AE39" s="16">
        <f t="shared" si="18"/>
        <v>0</v>
      </c>
      <c r="AF39" s="16">
        <f t="shared" si="19"/>
        <v>0</v>
      </c>
      <c r="AG39" s="16">
        <f t="shared" si="20"/>
        <v>0</v>
      </c>
    </row>
    <row r="40" spans="1:33" s="10" customFormat="1" ht="31.5" x14ac:dyDescent="0.25">
      <c r="A40" s="27" t="s">
        <v>104</v>
      </c>
      <c r="B40" s="28" t="s">
        <v>33</v>
      </c>
      <c r="C40" s="29">
        <v>5241403</v>
      </c>
      <c r="D40" s="29">
        <v>339648</v>
      </c>
      <c r="E40" s="29">
        <v>3452719</v>
      </c>
      <c r="F40" s="29">
        <v>2886838</v>
      </c>
      <c r="G40" s="29">
        <v>1335597</v>
      </c>
      <c r="H40" s="29">
        <v>3169107</v>
      </c>
      <c r="I40" s="29">
        <v>1262949</v>
      </c>
      <c r="J40" s="29">
        <v>985083</v>
      </c>
      <c r="K40" s="26">
        <f t="shared" si="24"/>
        <v>18673344</v>
      </c>
      <c r="L40" s="27" t="s">
        <v>104</v>
      </c>
      <c r="M40" s="28" t="s">
        <v>33</v>
      </c>
      <c r="N40" s="29">
        <v>5241403</v>
      </c>
      <c r="O40" s="29">
        <v>339648</v>
      </c>
      <c r="P40" s="29">
        <v>3452719</v>
      </c>
      <c r="Q40" s="29">
        <v>2886838</v>
      </c>
      <c r="R40" s="29">
        <v>1335597</v>
      </c>
      <c r="S40" s="29">
        <v>3169107</v>
      </c>
      <c r="T40" s="29">
        <v>1262949</v>
      </c>
      <c r="U40" s="29">
        <v>985083</v>
      </c>
      <c r="V40" s="26">
        <f t="shared" si="25"/>
        <v>18673344</v>
      </c>
      <c r="W40" s="27" t="s">
        <v>104</v>
      </c>
      <c r="X40" s="28" t="s">
        <v>33</v>
      </c>
      <c r="Y40" s="16">
        <f t="shared" si="21"/>
        <v>0</v>
      </c>
      <c r="Z40" s="16">
        <f t="shared" si="13"/>
        <v>0</v>
      </c>
      <c r="AA40" s="16">
        <f t="shared" si="14"/>
        <v>0</v>
      </c>
      <c r="AB40" s="16">
        <f t="shared" si="15"/>
        <v>0</v>
      </c>
      <c r="AC40" s="16">
        <f t="shared" si="16"/>
        <v>0</v>
      </c>
      <c r="AD40" s="16">
        <f t="shared" si="17"/>
        <v>0</v>
      </c>
      <c r="AE40" s="16">
        <f t="shared" si="18"/>
        <v>0</v>
      </c>
      <c r="AF40" s="16">
        <f t="shared" si="19"/>
        <v>0</v>
      </c>
      <c r="AG40" s="16">
        <f t="shared" si="20"/>
        <v>0</v>
      </c>
    </row>
    <row r="41" spans="1:33" s="10" customFormat="1" ht="47.25" x14ac:dyDescent="0.25">
      <c r="A41" s="27" t="s">
        <v>105</v>
      </c>
      <c r="B41" s="28" t="s">
        <v>34</v>
      </c>
      <c r="C41" s="29">
        <f>19486497-699583</f>
        <v>18786914</v>
      </c>
      <c r="D41" s="29">
        <f>8716603-3276482</f>
        <v>5440121</v>
      </c>
      <c r="E41" s="29">
        <f>7804471</f>
        <v>7804471</v>
      </c>
      <c r="F41" s="29">
        <f>7478840-750387</f>
        <v>6728453</v>
      </c>
      <c r="G41" s="29">
        <v>3125891</v>
      </c>
      <c r="H41" s="29">
        <v>5953696</v>
      </c>
      <c r="I41" s="29">
        <v>2776981</v>
      </c>
      <c r="J41" s="29">
        <f>1472067-148826</f>
        <v>1323241</v>
      </c>
      <c r="K41" s="26">
        <f t="shared" si="24"/>
        <v>51939768</v>
      </c>
      <c r="L41" s="27" t="s">
        <v>105</v>
      </c>
      <c r="M41" s="28" t="s">
        <v>34</v>
      </c>
      <c r="N41" s="29">
        <f>19486497-699583</f>
        <v>18786914</v>
      </c>
      <c r="O41" s="29">
        <f>8716603-3276482</f>
        <v>5440121</v>
      </c>
      <c r="P41" s="29">
        <f>7804471</f>
        <v>7804471</v>
      </c>
      <c r="Q41" s="29">
        <f>7478840-750387</f>
        <v>6728453</v>
      </c>
      <c r="R41" s="29">
        <v>3125891</v>
      </c>
      <c r="S41" s="29">
        <v>5953696</v>
      </c>
      <c r="T41" s="29">
        <v>2776981</v>
      </c>
      <c r="U41" s="29">
        <f>1472067-148826</f>
        <v>1323241</v>
      </c>
      <c r="V41" s="26">
        <f t="shared" si="25"/>
        <v>51939768</v>
      </c>
      <c r="W41" s="27" t="s">
        <v>105</v>
      </c>
      <c r="X41" s="28" t="s">
        <v>34</v>
      </c>
      <c r="Y41" s="16">
        <f t="shared" si="21"/>
        <v>0</v>
      </c>
      <c r="Z41" s="16">
        <f t="shared" si="13"/>
        <v>0</v>
      </c>
      <c r="AA41" s="16">
        <f t="shared" si="14"/>
        <v>0</v>
      </c>
      <c r="AB41" s="16">
        <f t="shared" si="15"/>
        <v>0</v>
      </c>
      <c r="AC41" s="16">
        <f t="shared" si="16"/>
        <v>0</v>
      </c>
      <c r="AD41" s="16">
        <f t="shared" si="17"/>
        <v>0</v>
      </c>
      <c r="AE41" s="16">
        <f t="shared" si="18"/>
        <v>0</v>
      </c>
      <c r="AF41" s="16">
        <f t="shared" si="19"/>
        <v>0</v>
      </c>
      <c r="AG41" s="16">
        <f t="shared" si="20"/>
        <v>0</v>
      </c>
    </row>
    <row r="42" spans="1:33" s="43" customFormat="1" x14ac:dyDescent="0.25">
      <c r="A42" s="66" t="s">
        <v>21</v>
      </c>
      <c r="B42" s="67" t="s">
        <v>29</v>
      </c>
      <c r="C42" s="68">
        <f>436217983-101081715-5328484</f>
        <v>329807784</v>
      </c>
      <c r="D42" s="68">
        <f>36026060-9350309-3516473</f>
        <v>23159278</v>
      </c>
      <c r="E42" s="68">
        <f>161790902-8117588</f>
        <v>153673314</v>
      </c>
      <c r="F42" s="68">
        <f>160980282-35393670</f>
        <v>125586612</v>
      </c>
      <c r="G42" s="68">
        <f>63302354-1539590</f>
        <v>61762764</v>
      </c>
      <c r="H42" s="68">
        <f>99225867-249467</f>
        <v>98976400</v>
      </c>
      <c r="I42" s="68">
        <f>67750580-3441357</f>
        <v>64309223</v>
      </c>
      <c r="J42" s="68">
        <f>32907647-3148420</f>
        <v>29759227</v>
      </c>
      <c r="K42" s="42">
        <f t="shared" si="24"/>
        <v>887034602</v>
      </c>
      <c r="L42" s="66" t="s">
        <v>21</v>
      </c>
      <c r="M42" s="67" t="s">
        <v>29</v>
      </c>
      <c r="N42" s="68">
        <f>436217983-101081715-5328484</f>
        <v>329807784</v>
      </c>
      <c r="O42" s="68">
        <f>36026060-9350309-3516473</f>
        <v>23159278</v>
      </c>
      <c r="P42" s="68">
        <f>161790902-8117588</f>
        <v>153673314</v>
      </c>
      <c r="Q42" s="68">
        <f>160980282-35393670</f>
        <v>125586612</v>
      </c>
      <c r="R42" s="68">
        <f>63302354-1539590</f>
        <v>61762764</v>
      </c>
      <c r="S42" s="68">
        <f>99225867-249467</f>
        <v>98976400</v>
      </c>
      <c r="T42" s="68">
        <f>67750580-3441357</f>
        <v>64309223</v>
      </c>
      <c r="U42" s="68">
        <f>32907647-3148420</f>
        <v>29759227</v>
      </c>
      <c r="V42" s="42">
        <f t="shared" si="25"/>
        <v>887034602</v>
      </c>
      <c r="W42" s="66" t="s">
        <v>21</v>
      </c>
      <c r="X42" s="67" t="s">
        <v>29</v>
      </c>
      <c r="Y42" s="16">
        <f t="shared" si="21"/>
        <v>0</v>
      </c>
      <c r="Z42" s="16">
        <f t="shared" si="13"/>
        <v>0</v>
      </c>
      <c r="AA42" s="16">
        <f t="shared" si="14"/>
        <v>0</v>
      </c>
      <c r="AB42" s="16">
        <f t="shared" si="15"/>
        <v>0</v>
      </c>
      <c r="AC42" s="16">
        <f t="shared" si="16"/>
        <v>0</v>
      </c>
      <c r="AD42" s="16">
        <f t="shared" si="17"/>
        <v>0</v>
      </c>
      <c r="AE42" s="16">
        <f t="shared" si="18"/>
        <v>0</v>
      </c>
      <c r="AF42" s="16">
        <f t="shared" si="19"/>
        <v>0</v>
      </c>
      <c r="AG42" s="16">
        <f t="shared" si="20"/>
        <v>0</v>
      </c>
    </row>
    <row r="43" spans="1:33" s="10" customFormat="1" ht="12" customHeight="1" x14ac:dyDescent="0.25">
      <c r="A43" s="23"/>
      <c r="B43" s="24"/>
      <c r="C43" s="25"/>
      <c r="D43" s="25"/>
      <c r="E43" s="25"/>
      <c r="F43" s="25"/>
      <c r="G43" s="25"/>
      <c r="H43" s="25"/>
      <c r="I43" s="25"/>
      <c r="J43" s="25"/>
      <c r="K43" s="26"/>
      <c r="L43" s="23"/>
      <c r="M43" s="24"/>
      <c r="N43" s="25"/>
      <c r="O43" s="25"/>
      <c r="P43" s="25"/>
      <c r="Q43" s="25"/>
      <c r="R43" s="25"/>
      <c r="S43" s="25"/>
      <c r="T43" s="25"/>
      <c r="U43" s="25"/>
      <c r="V43" s="26"/>
      <c r="W43" s="23"/>
      <c r="X43" s="24"/>
      <c r="Y43" s="16">
        <f t="shared" si="21"/>
        <v>0</v>
      </c>
      <c r="Z43" s="16">
        <f t="shared" si="13"/>
        <v>0</v>
      </c>
      <c r="AA43" s="16">
        <f t="shared" si="14"/>
        <v>0</v>
      </c>
      <c r="AB43" s="16">
        <f t="shared" si="15"/>
        <v>0</v>
      </c>
      <c r="AC43" s="16">
        <f t="shared" si="16"/>
        <v>0</v>
      </c>
      <c r="AD43" s="16">
        <f t="shared" si="17"/>
        <v>0</v>
      </c>
      <c r="AE43" s="16">
        <f t="shared" si="18"/>
        <v>0</v>
      </c>
      <c r="AF43" s="16">
        <f t="shared" si="19"/>
        <v>0</v>
      </c>
      <c r="AG43" s="16">
        <f t="shared" si="20"/>
        <v>0</v>
      </c>
    </row>
    <row r="44" spans="1:33" s="10" customFormat="1" x14ac:dyDescent="0.25">
      <c r="A44" s="19" t="s">
        <v>17</v>
      </c>
      <c r="B44" s="20" t="s">
        <v>31</v>
      </c>
      <c r="C44" s="22">
        <f>C46+C47</f>
        <v>522212914</v>
      </c>
      <c r="D44" s="22">
        <f t="shared" ref="D44:J44" si="26">D46+D47</f>
        <v>44703579</v>
      </c>
      <c r="E44" s="22">
        <f t="shared" si="26"/>
        <v>350322461</v>
      </c>
      <c r="F44" s="22">
        <f t="shared" si="26"/>
        <v>301033590</v>
      </c>
      <c r="G44" s="22">
        <f t="shared" si="26"/>
        <v>153808193</v>
      </c>
      <c r="H44" s="22">
        <f t="shared" si="26"/>
        <v>268184383</v>
      </c>
      <c r="I44" s="22">
        <f t="shared" si="26"/>
        <v>160072662</v>
      </c>
      <c r="J44" s="22">
        <f t="shared" si="26"/>
        <v>93938638</v>
      </c>
      <c r="K44" s="22">
        <f>SUM(C44:J44)</f>
        <v>1894276420</v>
      </c>
      <c r="L44" s="19" t="s">
        <v>17</v>
      </c>
      <c r="M44" s="20" t="s">
        <v>31</v>
      </c>
      <c r="N44" s="22">
        <f>N46+N47</f>
        <v>524500714</v>
      </c>
      <c r="O44" s="22">
        <f>O46+O47</f>
        <v>45253579</v>
      </c>
      <c r="P44" s="22">
        <f t="shared" ref="P44:U44" si="27">P46+P47</f>
        <v>350322461</v>
      </c>
      <c r="Q44" s="22">
        <f t="shared" si="27"/>
        <v>301033590</v>
      </c>
      <c r="R44" s="22">
        <f t="shared" si="27"/>
        <v>153841226</v>
      </c>
      <c r="S44" s="22">
        <f t="shared" si="27"/>
        <v>268184383</v>
      </c>
      <c r="T44" s="22">
        <f t="shared" si="27"/>
        <v>160072662</v>
      </c>
      <c r="U44" s="22">
        <f t="shared" si="27"/>
        <v>93938638</v>
      </c>
      <c r="V44" s="22">
        <f>SUM(N44:U44)</f>
        <v>1897147253</v>
      </c>
      <c r="W44" s="19" t="s">
        <v>17</v>
      </c>
      <c r="X44" s="20" t="s">
        <v>31</v>
      </c>
      <c r="Y44" s="16">
        <f t="shared" si="21"/>
        <v>2287800</v>
      </c>
      <c r="Z44" s="16">
        <f t="shared" si="13"/>
        <v>550000</v>
      </c>
      <c r="AA44" s="16">
        <f t="shared" si="14"/>
        <v>0</v>
      </c>
      <c r="AB44" s="16">
        <f t="shared" si="15"/>
        <v>0</v>
      </c>
      <c r="AC44" s="16">
        <f t="shared" si="16"/>
        <v>33033</v>
      </c>
      <c r="AD44" s="16">
        <f t="shared" si="17"/>
        <v>0</v>
      </c>
      <c r="AE44" s="16">
        <f t="shared" si="18"/>
        <v>0</v>
      </c>
      <c r="AF44" s="16">
        <f t="shared" si="19"/>
        <v>0</v>
      </c>
      <c r="AG44" s="16">
        <f t="shared" si="20"/>
        <v>2870833</v>
      </c>
    </row>
    <row r="45" spans="1:33" s="43" customFormat="1" x14ac:dyDescent="0.25">
      <c r="A45" s="40" t="s">
        <v>81</v>
      </c>
      <c r="B45" s="41" t="s">
        <v>38</v>
      </c>
      <c r="C45" s="42">
        <f>15124169+7282182</f>
        <v>22406351</v>
      </c>
      <c r="D45" s="42">
        <f>1297711+1505786</f>
        <v>2803497</v>
      </c>
      <c r="E45" s="42">
        <f>12201986+6152975+85148</f>
        <v>18440109</v>
      </c>
      <c r="F45" s="42">
        <f>12811489+6625565</f>
        <v>19437054</v>
      </c>
      <c r="G45" s="42">
        <f>4968635+2431300</f>
        <v>7399935</v>
      </c>
      <c r="H45" s="42">
        <f>7116869+4983376</f>
        <v>12100245</v>
      </c>
      <c r="I45" s="42">
        <f>4500356+3601946</f>
        <v>8102302</v>
      </c>
      <c r="J45" s="42">
        <f>3331334+1978781</f>
        <v>5310115</v>
      </c>
      <c r="K45" s="42">
        <f>SUM(C45:J45)</f>
        <v>95999608</v>
      </c>
      <c r="L45" s="40" t="s">
        <v>81</v>
      </c>
      <c r="M45" s="41" t="s">
        <v>38</v>
      </c>
      <c r="N45" s="42">
        <f>15124169+7282182</f>
        <v>22406351</v>
      </c>
      <c r="O45" s="42">
        <f>1297711+1505786</f>
        <v>2803497</v>
      </c>
      <c r="P45" s="42">
        <f>12201986+6152975+85148</f>
        <v>18440109</v>
      </c>
      <c r="Q45" s="42">
        <f>12811489+6625565</f>
        <v>19437054</v>
      </c>
      <c r="R45" s="42">
        <f>4968635+2431300</f>
        <v>7399935</v>
      </c>
      <c r="S45" s="42">
        <f>7116869+4983376</f>
        <v>12100245</v>
      </c>
      <c r="T45" s="42">
        <f>4500356+3601946</f>
        <v>8102302</v>
      </c>
      <c r="U45" s="42">
        <f>3331334+1978781</f>
        <v>5310115</v>
      </c>
      <c r="V45" s="42">
        <f>SUM(N45:U45)</f>
        <v>95999608</v>
      </c>
      <c r="W45" s="40" t="s">
        <v>81</v>
      </c>
      <c r="X45" s="41" t="s">
        <v>38</v>
      </c>
      <c r="Y45" s="16">
        <f t="shared" si="21"/>
        <v>0</v>
      </c>
      <c r="Z45" s="16">
        <f t="shared" si="13"/>
        <v>0</v>
      </c>
      <c r="AA45" s="16">
        <f t="shared" si="14"/>
        <v>0</v>
      </c>
      <c r="AB45" s="16">
        <f t="shared" si="15"/>
        <v>0</v>
      </c>
      <c r="AC45" s="16">
        <f t="shared" si="16"/>
        <v>0</v>
      </c>
      <c r="AD45" s="16">
        <f t="shared" si="17"/>
        <v>0</v>
      </c>
      <c r="AE45" s="16">
        <f t="shared" si="18"/>
        <v>0</v>
      </c>
      <c r="AF45" s="16">
        <f t="shared" si="19"/>
        <v>0</v>
      </c>
      <c r="AG45" s="16">
        <f t="shared" si="20"/>
        <v>0</v>
      </c>
    </row>
    <row r="46" spans="1:33" s="65" customFormat="1" x14ac:dyDescent="0.25">
      <c r="A46" s="69" t="s">
        <v>82</v>
      </c>
      <c r="B46" s="63" t="s">
        <v>32</v>
      </c>
      <c r="C46" s="64">
        <f>71483520+19253666+C66+C67</f>
        <v>96029541</v>
      </c>
      <c r="D46" s="64">
        <f>14617381-7049317+D66+D67</f>
        <v>7730674</v>
      </c>
      <c r="E46" s="64">
        <f>38726783-8528294+E66+E67</f>
        <v>32821262</v>
      </c>
      <c r="F46" s="64">
        <f>29256494-7241651+F66+F67</f>
        <v>22829503</v>
      </c>
      <c r="G46" s="64">
        <f>15871214-864156+G66+G67</f>
        <v>15400252</v>
      </c>
      <c r="H46" s="64">
        <f>23392323-5765882+H66+H67</f>
        <v>20163825</v>
      </c>
      <c r="I46" s="64">
        <f>17673977-2971601+I66+I67</f>
        <v>15108116</v>
      </c>
      <c r="J46" s="64">
        <f>10804210-1653789+J66+J67</f>
        <v>12108423</v>
      </c>
      <c r="K46" s="64">
        <f>SUM(C46:J46)</f>
        <v>222191596</v>
      </c>
      <c r="L46" s="69" t="s">
        <v>82</v>
      </c>
      <c r="M46" s="63" t="s">
        <v>32</v>
      </c>
      <c r="N46" s="64">
        <f>71483520+19253666+N66+N67</f>
        <v>98317341</v>
      </c>
      <c r="O46" s="64">
        <f>14617381-7049317+O66+O67</f>
        <v>8280674</v>
      </c>
      <c r="P46" s="64">
        <f>38726783-8528294+P66+P67</f>
        <v>32821262</v>
      </c>
      <c r="Q46" s="64">
        <f>29256494-7241651+Q66+Q67</f>
        <v>22829503</v>
      </c>
      <c r="R46" s="64">
        <f>15871214-864156+R66+R67</f>
        <v>15433285</v>
      </c>
      <c r="S46" s="64">
        <f>23392323-5765882+S66+S67</f>
        <v>20163825</v>
      </c>
      <c r="T46" s="64">
        <f>17673977-2971601+T66+T67</f>
        <v>15108116</v>
      </c>
      <c r="U46" s="64">
        <f>10804210-1653789+U66+U67</f>
        <v>12108423</v>
      </c>
      <c r="V46" s="64">
        <f>SUM(N46:U46)</f>
        <v>225062429</v>
      </c>
      <c r="W46" s="69" t="s">
        <v>82</v>
      </c>
      <c r="X46" s="63" t="s">
        <v>32</v>
      </c>
      <c r="Y46" s="16">
        <f t="shared" si="21"/>
        <v>2287800</v>
      </c>
      <c r="Z46" s="16">
        <f t="shared" si="13"/>
        <v>550000</v>
      </c>
      <c r="AA46" s="16">
        <f t="shared" si="14"/>
        <v>0</v>
      </c>
      <c r="AB46" s="16">
        <f t="shared" si="15"/>
        <v>0</v>
      </c>
      <c r="AC46" s="16">
        <f t="shared" si="16"/>
        <v>33033</v>
      </c>
      <c r="AD46" s="16">
        <f t="shared" si="17"/>
        <v>0</v>
      </c>
      <c r="AE46" s="16">
        <f t="shared" si="18"/>
        <v>0</v>
      </c>
      <c r="AF46" s="16">
        <f t="shared" si="19"/>
        <v>0</v>
      </c>
      <c r="AG46" s="16">
        <f t="shared" si="20"/>
        <v>2870833</v>
      </c>
    </row>
    <row r="47" spans="1:33" s="10" customFormat="1" ht="31.5" x14ac:dyDescent="0.25">
      <c r="A47" s="30" t="s">
        <v>83</v>
      </c>
      <c r="B47" s="24" t="s">
        <v>35</v>
      </c>
      <c r="C47" s="26">
        <f>C48+C50</f>
        <v>426183373</v>
      </c>
      <c r="D47" s="26">
        <f t="shared" ref="D47:I47" si="28">D48+D50</f>
        <v>36972905</v>
      </c>
      <c r="E47" s="26">
        <f>E48+E50</f>
        <v>317501199</v>
      </c>
      <c r="F47" s="26">
        <f>F48+F50</f>
        <v>278204087</v>
      </c>
      <c r="G47" s="26">
        <f t="shared" si="28"/>
        <v>138407941</v>
      </c>
      <c r="H47" s="26">
        <f t="shared" si="28"/>
        <v>248020558</v>
      </c>
      <c r="I47" s="26">
        <f t="shared" si="28"/>
        <v>144964546</v>
      </c>
      <c r="J47" s="26">
        <f>J48+J50</f>
        <v>81830215</v>
      </c>
      <c r="K47" s="26">
        <f>SUM(C47:J47)</f>
        <v>1672084824</v>
      </c>
      <c r="L47" s="30" t="s">
        <v>83</v>
      </c>
      <c r="M47" s="24" t="s">
        <v>35</v>
      </c>
      <c r="N47" s="26">
        <f>N48+N50</f>
        <v>426183373</v>
      </c>
      <c r="O47" s="26">
        <f t="shared" ref="O47" si="29">O48+O50</f>
        <v>36972905</v>
      </c>
      <c r="P47" s="26">
        <f>P48+P50</f>
        <v>317501199</v>
      </c>
      <c r="Q47" s="26">
        <f>Q48+Q50</f>
        <v>278204087</v>
      </c>
      <c r="R47" s="26">
        <f t="shared" ref="R47:T47" si="30">R48+R50</f>
        <v>138407941</v>
      </c>
      <c r="S47" s="26">
        <f t="shared" si="30"/>
        <v>248020558</v>
      </c>
      <c r="T47" s="26">
        <f t="shared" si="30"/>
        <v>144964546</v>
      </c>
      <c r="U47" s="26">
        <f>U48+U50</f>
        <v>81830215</v>
      </c>
      <c r="V47" s="26">
        <f>SUM(N47:U47)</f>
        <v>1672084824</v>
      </c>
      <c r="W47" s="30" t="s">
        <v>83</v>
      </c>
      <c r="X47" s="24" t="s">
        <v>35</v>
      </c>
      <c r="Y47" s="16">
        <f t="shared" si="21"/>
        <v>0</v>
      </c>
      <c r="Z47" s="16">
        <f t="shared" si="13"/>
        <v>0</v>
      </c>
      <c r="AA47" s="16">
        <f t="shared" si="14"/>
        <v>0</v>
      </c>
      <c r="AB47" s="16">
        <f t="shared" si="15"/>
        <v>0</v>
      </c>
      <c r="AC47" s="16">
        <f t="shared" si="16"/>
        <v>0</v>
      </c>
      <c r="AD47" s="16">
        <f t="shared" si="17"/>
        <v>0</v>
      </c>
      <c r="AE47" s="16">
        <f t="shared" si="18"/>
        <v>0</v>
      </c>
      <c r="AF47" s="16">
        <f t="shared" si="19"/>
        <v>0</v>
      </c>
      <c r="AG47" s="16">
        <f t="shared" si="20"/>
        <v>0</v>
      </c>
    </row>
    <row r="48" spans="1:33" s="10" customFormat="1" x14ac:dyDescent="0.25">
      <c r="A48" s="30" t="s">
        <v>84</v>
      </c>
      <c r="B48" s="31" t="s">
        <v>36</v>
      </c>
      <c r="C48" s="32">
        <f>373350290+1472621-10000000</f>
        <v>364822911</v>
      </c>
      <c r="D48" s="32">
        <f>31904861+217088</f>
        <v>32121949</v>
      </c>
      <c r="E48" s="32">
        <f>262699773+1478588</f>
        <v>264178361</v>
      </c>
      <c r="F48" s="32">
        <f>244860720+1330788</f>
        <v>246191508</v>
      </c>
      <c r="G48" s="32">
        <f>124822266+583275+45147</f>
        <v>125450688</v>
      </c>
      <c r="H48" s="32">
        <f>218493289+781578+45147</f>
        <v>219320014</v>
      </c>
      <c r="I48" s="32">
        <f>127902730+886425</f>
        <v>128789155</v>
      </c>
      <c r="J48" s="32">
        <f>71744614+612292+45147+140199</f>
        <v>72542252</v>
      </c>
      <c r="K48" s="26">
        <f t="shared" ref="K48:K60" si="31">SUM(C48:J48)</f>
        <v>1453416838</v>
      </c>
      <c r="L48" s="30" t="s">
        <v>84</v>
      </c>
      <c r="M48" s="31" t="s">
        <v>36</v>
      </c>
      <c r="N48" s="32">
        <f>373350290+1472621-10000000</f>
        <v>364822911</v>
      </c>
      <c r="O48" s="32">
        <f>31904861+217088</f>
        <v>32121949</v>
      </c>
      <c r="P48" s="32">
        <f>262699773+1478588</f>
        <v>264178361</v>
      </c>
      <c r="Q48" s="32">
        <f>244860720+1330788</f>
        <v>246191508</v>
      </c>
      <c r="R48" s="32">
        <f>124822266+583275+45147</f>
        <v>125450688</v>
      </c>
      <c r="S48" s="32">
        <f>218493289+781578+45147</f>
        <v>219320014</v>
      </c>
      <c r="T48" s="32">
        <f>127902730+886425</f>
        <v>128789155</v>
      </c>
      <c r="U48" s="32">
        <f>71744614+612292+45147+140199</f>
        <v>72542252</v>
      </c>
      <c r="V48" s="26">
        <f t="shared" ref="V48:V50" si="32">SUM(N48:U48)</f>
        <v>1453416838</v>
      </c>
      <c r="W48" s="30" t="s">
        <v>84</v>
      </c>
      <c r="X48" s="31" t="s">
        <v>36</v>
      </c>
      <c r="Y48" s="16">
        <f t="shared" si="21"/>
        <v>0</v>
      </c>
      <c r="Z48" s="16">
        <f t="shared" si="13"/>
        <v>0</v>
      </c>
      <c r="AA48" s="16">
        <f t="shared" si="14"/>
        <v>0</v>
      </c>
      <c r="AB48" s="16">
        <f t="shared" si="15"/>
        <v>0</v>
      </c>
      <c r="AC48" s="16">
        <f t="shared" si="16"/>
        <v>0</v>
      </c>
      <c r="AD48" s="16">
        <f t="shared" si="17"/>
        <v>0</v>
      </c>
      <c r="AE48" s="16">
        <f t="shared" si="18"/>
        <v>0</v>
      </c>
      <c r="AF48" s="16">
        <f t="shared" si="19"/>
        <v>0</v>
      </c>
      <c r="AG48" s="16">
        <f t="shared" si="20"/>
        <v>0</v>
      </c>
    </row>
    <row r="49" spans="1:33" s="37" customFormat="1" ht="31.5" x14ac:dyDescent="0.25">
      <c r="A49" s="33" t="s">
        <v>106</v>
      </c>
      <c r="B49" s="34" t="s">
        <v>23</v>
      </c>
      <c r="C49" s="35">
        <v>5649945</v>
      </c>
      <c r="D49" s="35">
        <v>632693</v>
      </c>
      <c r="E49" s="35">
        <v>3452961</v>
      </c>
      <c r="F49" s="35">
        <v>1340054</v>
      </c>
      <c r="G49" s="35">
        <v>441779</v>
      </c>
      <c r="H49" s="35"/>
      <c r="I49" s="35">
        <v>200000</v>
      </c>
      <c r="J49" s="35"/>
      <c r="K49" s="36">
        <f t="shared" si="31"/>
        <v>11717432</v>
      </c>
      <c r="L49" s="33" t="s">
        <v>106</v>
      </c>
      <c r="M49" s="34" t="s">
        <v>23</v>
      </c>
      <c r="N49" s="35">
        <v>5649945</v>
      </c>
      <c r="O49" s="35">
        <v>632693</v>
      </c>
      <c r="P49" s="35">
        <v>3452961</v>
      </c>
      <c r="Q49" s="35">
        <v>1340054</v>
      </c>
      <c r="R49" s="35">
        <v>441779</v>
      </c>
      <c r="S49" s="35"/>
      <c r="T49" s="35">
        <v>200000</v>
      </c>
      <c r="U49" s="35"/>
      <c r="V49" s="36">
        <f t="shared" si="32"/>
        <v>11717432</v>
      </c>
      <c r="W49" s="33" t="s">
        <v>106</v>
      </c>
      <c r="X49" s="34" t="s">
        <v>23</v>
      </c>
      <c r="Y49" s="16">
        <f t="shared" si="21"/>
        <v>0</v>
      </c>
      <c r="Z49" s="16">
        <f t="shared" si="13"/>
        <v>0</v>
      </c>
      <c r="AA49" s="16">
        <f t="shared" si="14"/>
        <v>0</v>
      </c>
      <c r="AB49" s="16">
        <f t="shared" si="15"/>
        <v>0</v>
      </c>
      <c r="AC49" s="16">
        <f t="shared" si="16"/>
        <v>0</v>
      </c>
      <c r="AD49" s="16">
        <f t="shared" si="17"/>
        <v>0</v>
      </c>
      <c r="AE49" s="16">
        <f t="shared" si="18"/>
        <v>0</v>
      </c>
      <c r="AF49" s="16">
        <f t="shared" si="19"/>
        <v>0</v>
      </c>
      <c r="AG49" s="16">
        <f t="shared" si="20"/>
        <v>0</v>
      </c>
    </row>
    <row r="50" spans="1:33" s="10" customFormat="1" x14ac:dyDescent="0.25">
      <c r="A50" s="30" t="s">
        <v>85</v>
      </c>
      <c r="B50" s="31" t="s">
        <v>107</v>
      </c>
      <c r="C50" s="32">
        <f>61395072-34610</f>
        <v>61360462</v>
      </c>
      <c r="D50" s="32">
        <f>3904111+946845</f>
        <v>4850956</v>
      </c>
      <c r="E50" s="32">
        <f>52287464+1035374</f>
        <v>53322838</v>
      </c>
      <c r="F50" s="32">
        <f>30515153+1497426</f>
        <v>32012579</v>
      </c>
      <c r="G50" s="32">
        <f>12927657+29596</f>
        <v>12957253</v>
      </c>
      <c r="H50" s="32">
        <f>28976790-276246</f>
        <v>28700544</v>
      </c>
      <c r="I50" s="32">
        <f>15412491+762900</f>
        <v>16175391</v>
      </c>
      <c r="J50" s="32">
        <f>9073458+214505</f>
        <v>9287963</v>
      </c>
      <c r="K50" s="26">
        <f t="shared" si="31"/>
        <v>218667986</v>
      </c>
      <c r="L50" s="30" t="s">
        <v>85</v>
      </c>
      <c r="M50" s="31" t="s">
        <v>107</v>
      </c>
      <c r="N50" s="32">
        <f>61395072-34610</f>
        <v>61360462</v>
      </c>
      <c r="O50" s="32">
        <f>3904111+946845</f>
        <v>4850956</v>
      </c>
      <c r="P50" s="32">
        <f>52287464+1035374</f>
        <v>53322838</v>
      </c>
      <c r="Q50" s="32">
        <f>30515153+1497426</f>
        <v>32012579</v>
      </c>
      <c r="R50" s="32">
        <f>12927657+29596</f>
        <v>12957253</v>
      </c>
      <c r="S50" s="32">
        <f>28976790-276246</f>
        <v>28700544</v>
      </c>
      <c r="T50" s="32">
        <f>15412491+762900</f>
        <v>16175391</v>
      </c>
      <c r="U50" s="32">
        <f>9073458+214505</f>
        <v>9287963</v>
      </c>
      <c r="V50" s="26">
        <f t="shared" si="32"/>
        <v>218667986</v>
      </c>
      <c r="W50" s="30" t="s">
        <v>85</v>
      </c>
      <c r="X50" s="31" t="s">
        <v>107</v>
      </c>
      <c r="Y50" s="16">
        <f t="shared" si="21"/>
        <v>0</v>
      </c>
      <c r="Z50" s="16">
        <f t="shared" si="13"/>
        <v>0</v>
      </c>
      <c r="AA50" s="16">
        <f t="shared" si="14"/>
        <v>0</v>
      </c>
      <c r="AB50" s="16">
        <f t="shared" si="15"/>
        <v>0</v>
      </c>
      <c r="AC50" s="16">
        <f t="shared" si="16"/>
        <v>0</v>
      </c>
      <c r="AD50" s="16">
        <f t="shared" si="17"/>
        <v>0</v>
      </c>
      <c r="AE50" s="16">
        <f t="shared" si="18"/>
        <v>0</v>
      </c>
      <c r="AF50" s="16">
        <f t="shared" si="19"/>
        <v>0</v>
      </c>
      <c r="AG50" s="16">
        <f t="shared" si="20"/>
        <v>0</v>
      </c>
    </row>
    <row r="51" spans="1:33" s="37" customFormat="1" ht="6.75" customHeight="1" x14ac:dyDescent="0.25">
      <c r="A51" s="33"/>
      <c r="B51" s="38"/>
      <c r="C51" s="39"/>
      <c r="D51" s="39"/>
      <c r="E51" s="39"/>
      <c r="F51" s="39"/>
      <c r="G51" s="39"/>
      <c r="H51" s="39"/>
      <c r="I51" s="39"/>
      <c r="J51" s="39"/>
      <c r="K51" s="36"/>
      <c r="L51" s="33"/>
      <c r="M51" s="38"/>
      <c r="N51" s="39"/>
      <c r="O51" s="39"/>
      <c r="P51" s="39"/>
      <c r="Q51" s="39"/>
      <c r="R51" s="39"/>
      <c r="S51" s="39"/>
      <c r="T51" s="39"/>
      <c r="U51" s="39"/>
      <c r="V51" s="36"/>
      <c r="W51" s="33"/>
      <c r="X51" s="38"/>
      <c r="Y51" s="16">
        <f t="shared" si="21"/>
        <v>0</v>
      </c>
      <c r="Z51" s="16">
        <f t="shared" si="13"/>
        <v>0</v>
      </c>
      <c r="AA51" s="16">
        <f t="shared" si="14"/>
        <v>0</v>
      </c>
      <c r="AB51" s="16">
        <f t="shared" si="15"/>
        <v>0</v>
      </c>
      <c r="AC51" s="16">
        <f t="shared" si="16"/>
        <v>0</v>
      </c>
      <c r="AD51" s="16">
        <f t="shared" si="17"/>
        <v>0</v>
      </c>
      <c r="AE51" s="16">
        <f t="shared" si="18"/>
        <v>0</v>
      </c>
      <c r="AF51" s="16">
        <f t="shared" si="19"/>
        <v>0</v>
      </c>
      <c r="AG51" s="16">
        <f t="shared" si="20"/>
        <v>0</v>
      </c>
    </row>
    <row r="52" spans="1:33" s="37" customFormat="1" ht="31.5" x14ac:dyDescent="0.25">
      <c r="A52" s="19" t="s">
        <v>18</v>
      </c>
      <c r="B52" s="20" t="s">
        <v>108</v>
      </c>
      <c r="C52" s="22">
        <v>75000000</v>
      </c>
      <c r="D52" s="22"/>
      <c r="E52" s="22"/>
      <c r="F52" s="22"/>
      <c r="G52" s="22"/>
      <c r="H52" s="22"/>
      <c r="I52" s="22"/>
      <c r="J52" s="22"/>
      <c r="K52" s="22">
        <f t="shared" ref="K52:K54" si="33">SUM(C52:J52)</f>
        <v>75000000</v>
      </c>
      <c r="L52" s="19" t="s">
        <v>18</v>
      </c>
      <c r="M52" s="20" t="s">
        <v>108</v>
      </c>
      <c r="N52" s="22">
        <v>75000000</v>
      </c>
      <c r="O52" s="22"/>
      <c r="P52" s="22"/>
      <c r="Q52" s="22"/>
      <c r="R52" s="22"/>
      <c r="S52" s="22"/>
      <c r="T52" s="22"/>
      <c r="U52" s="22"/>
      <c r="V52" s="22">
        <f t="shared" ref="V52" si="34">SUM(N52:U52)</f>
        <v>75000000</v>
      </c>
      <c r="W52" s="19" t="s">
        <v>18</v>
      </c>
      <c r="X52" s="20" t="s">
        <v>108</v>
      </c>
      <c r="Y52" s="16">
        <f t="shared" si="21"/>
        <v>0</v>
      </c>
      <c r="Z52" s="16">
        <f t="shared" si="13"/>
        <v>0</v>
      </c>
      <c r="AA52" s="16">
        <f t="shared" si="14"/>
        <v>0</v>
      </c>
      <c r="AB52" s="16">
        <f t="shared" si="15"/>
        <v>0</v>
      </c>
      <c r="AC52" s="16">
        <f t="shared" si="16"/>
        <v>0</v>
      </c>
      <c r="AD52" s="16">
        <f t="shared" si="17"/>
        <v>0</v>
      </c>
      <c r="AE52" s="16">
        <f t="shared" si="18"/>
        <v>0</v>
      </c>
      <c r="AF52" s="16">
        <f t="shared" si="19"/>
        <v>0</v>
      </c>
      <c r="AG52" s="16">
        <f t="shared" si="20"/>
        <v>0</v>
      </c>
    </row>
    <row r="53" spans="1:33" s="70" customFormat="1" ht="6" customHeight="1" x14ac:dyDescent="0.25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0"/>
      <c r="M53" s="41"/>
      <c r="N53" s="42"/>
      <c r="O53" s="42"/>
      <c r="P53" s="42"/>
      <c r="Q53" s="42"/>
      <c r="R53" s="42"/>
      <c r="S53" s="42"/>
      <c r="T53" s="42"/>
      <c r="U53" s="42"/>
      <c r="V53" s="42"/>
      <c r="W53" s="40"/>
      <c r="X53" s="41"/>
      <c r="Y53" s="16">
        <f t="shared" si="21"/>
        <v>0</v>
      </c>
      <c r="Z53" s="16">
        <f t="shared" si="13"/>
        <v>0</v>
      </c>
      <c r="AA53" s="16">
        <f t="shared" si="14"/>
        <v>0</v>
      </c>
      <c r="AB53" s="16">
        <f t="shared" si="15"/>
        <v>0</v>
      </c>
      <c r="AC53" s="16">
        <f t="shared" si="16"/>
        <v>0</v>
      </c>
      <c r="AD53" s="16">
        <f t="shared" si="17"/>
        <v>0</v>
      </c>
      <c r="AE53" s="16">
        <f t="shared" si="18"/>
        <v>0</v>
      </c>
      <c r="AF53" s="16">
        <f t="shared" si="19"/>
        <v>0</v>
      </c>
      <c r="AG53" s="16">
        <f t="shared" si="20"/>
        <v>0</v>
      </c>
    </row>
    <row r="54" spans="1:33" s="37" customFormat="1" ht="31.5" x14ac:dyDescent="0.25">
      <c r="A54" s="19" t="s">
        <v>19</v>
      </c>
      <c r="B54" s="20" t="s">
        <v>109</v>
      </c>
      <c r="C54" s="22">
        <f>32300877</f>
        <v>32300877</v>
      </c>
      <c r="D54" s="22">
        <v>14969939</v>
      </c>
      <c r="E54" s="22">
        <v>8431930</v>
      </c>
      <c r="F54" s="22">
        <v>17461541</v>
      </c>
      <c r="G54" s="22">
        <v>6571011</v>
      </c>
      <c r="H54" s="22">
        <v>8517223</v>
      </c>
      <c r="I54" s="22">
        <v>3304386</v>
      </c>
      <c r="J54" s="22">
        <v>3130517</v>
      </c>
      <c r="K54" s="22">
        <f t="shared" si="33"/>
        <v>94687424</v>
      </c>
      <c r="L54" s="19" t="s">
        <v>19</v>
      </c>
      <c r="M54" s="20" t="s">
        <v>109</v>
      </c>
      <c r="N54" s="22">
        <f>32300877</f>
        <v>32300877</v>
      </c>
      <c r="O54" s="22">
        <v>14969939</v>
      </c>
      <c r="P54" s="22">
        <v>8431930</v>
      </c>
      <c r="Q54" s="22">
        <v>17461541</v>
      </c>
      <c r="R54" s="22">
        <v>6571011</v>
      </c>
      <c r="S54" s="22">
        <v>8517223</v>
      </c>
      <c r="T54" s="22">
        <v>3304386</v>
      </c>
      <c r="U54" s="22">
        <v>3130517</v>
      </c>
      <c r="V54" s="22">
        <f t="shared" ref="V54" si="35">SUM(N54:U54)</f>
        <v>94687424</v>
      </c>
      <c r="W54" s="19" t="s">
        <v>19</v>
      </c>
      <c r="X54" s="20" t="s">
        <v>109</v>
      </c>
      <c r="Y54" s="16">
        <f t="shared" si="21"/>
        <v>0</v>
      </c>
      <c r="Z54" s="16">
        <f t="shared" si="13"/>
        <v>0</v>
      </c>
      <c r="AA54" s="16">
        <f t="shared" si="14"/>
        <v>0</v>
      </c>
      <c r="AB54" s="16">
        <f t="shared" si="15"/>
        <v>0</v>
      </c>
      <c r="AC54" s="16">
        <f t="shared" si="16"/>
        <v>0</v>
      </c>
      <c r="AD54" s="16">
        <f t="shared" si="17"/>
        <v>0</v>
      </c>
      <c r="AE54" s="16">
        <f t="shared" si="18"/>
        <v>0</v>
      </c>
      <c r="AF54" s="16">
        <f t="shared" si="19"/>
        <v>0</v>
      </c>
      <c r="AG54" s="16">
        <f t="shared" si="20"/>
        <v>0</v>
      </c>
    </row>
    <row r="55" spans="1:33" s="37" customFormat="1" ht="8.25" customHeight="1" x14ac:dyDescent="0.25">
      <c r="A55" s="33"/>
      <c r="B55" s="38"/>
      <c r="C55" s="39"/>
      <c r="D55" s="39"/>
      <c r="E55" s="39"/>
      <c r="F55" s="39"/>
      <c r="G55" s="39"/>
      <c r="H55" s="39"/>
      <c r="I55" s="39"/>
      <c r="J55" s="39"/>
      <c r="K55" s="36"/>
      <c r="L55" s="33"/>
      <c r="M55" s="38"/>
      <c r="N55" s="39"/>
      <c r="O55" s="39"/>
      <c r="P55" s="39"/>
      <c r="Q55" s="39"/>
      <c r="R55" s="39"/>
      <c r="S55" s="39"/>
      <c r="T55" s="39"/>
      <c r="U55" s="39"/>
      <c r="V55" s="36"/>
      <c r="W55" s="33"/>
      <c r="X55" s="38"/>
      <c r="Y55" s="16">
        <f t="shared" si="21"/>
        <v>0</v>
      </c>
      <c r="Z55" s="16">
        <f t="shared" si="13"/>
        <v>0</v>
      </c>
      <c r="AA55" s="16">
        <f t="shared" si="14"/>
        <v>0</v>
      </c>
      <c r="AB55" s="16">
        <f t="shared" si="15"/>
        <v>0</v>
      </c>
      <c r="AC55" s="16">
        <f t="shared" si="16"/>
        <v>0</v>
      </c>
      <c r="AD55" s="16">
        <f t="shared" si="17"/>
        <v>0</v>
      </c>
      <c r="AE55" s="16">
        <f t="shared" si="18"/>
        <v>0</v>
      </c>
      <c r="AF55" s="16">
        <f t="shared" si="19"/>
        <v>0</v>
      </c>
      <c r="AG55" s="16">
        <f t="shared" si="20"/>
        <v>0</v>
      </c>
    </row>
    <row r="56" spans="1:33" s="10" customFormat="1" x14ac:dyDescent="0.25">
      <c r="A56" s="19" t="s">
        <v>86</v>
      </c>
      <c r="B56" s="20" t="s">
        <v>11</v>
      </c>
      <c r="C56" s="22">
        <f>C52+C54+C44-C36</f>
        <v>207925383</v>
      </c>
      <c r="D56" s="22">
        <f t="shared" ref="D56:J56" si="36">D52+D54+D44-D36</f>
        <v>27264730</v>
      </c>
      <c r="E56" s="22">
        <f t="shared" si="36"/>
        <v>170469615</v>
      </c>
      <c r="F56" s="22">
        <f t="shared" si="36"/>
        <v>169141479</v>
      </c>
      <c r="G56" s="22">
        <f t="shared" si="36"/>
        <v>88006503</v>
      </c>
      <c r="H56" s="22">
        <f t="shared" si="36"/>
        <v>157122210</v>
      </c>
      <c r="I56" s="22">
        <f t="shared" si="36"/>
        <v>82091072</v>
      </c>
      <c r="J56" s="22">
        <f t="shared" si="36"/>
        <v>59784975</v>
      </c>
      <c r="K56" s="22">
        <f>SUM(C56:J56)</f>
        <v>961805967</v>
      </c>
      <c r="L56" s="19" t="s">
        <v>86</v>
      </c>
      <c r="M56" s="20" t="s">
        <v>11</v>
      </c>
      <c r="N56" s="22">
        <f>N52+N54+N44-N36</f>
        <v>210213183</v>
      </c>
      <c r="O56" s="22">
        <f t="shared" ref="O56:U56" si="37">O52+O54+O44-O36</f>
        <v>27814730</v>
      </c>
      <c r="P56" s="22">
        <f t="shared" si="37"/>
        <v>170469615</v>
      </c>
      <c r="Q56" s="22">
        <f t="shared" si="37"/>
        <v>169141479</v>
      </c>
      <c r="R56" s="22">
        <f t="shared" si="37"/>
        <v>88039536</v>
      </c>
      <c r="S56" s="22">
        <f t="shared" si="37"/>
        <v>157122210</v>
      </c>
      <c r="T56" s="22">
        <f t="shared" si="37"/>
        <v>82091072</v>
      </c>
      <c r="U56" s="22">
        <f t="shared" si="37"/>
        <v>59784975</v>
      </c>
      <c r="V56" s="22">
        <f>SUM(N56:U56)</f>
        <v>964676800</v>
      </c>
      <c r="W56" s="19" t="s">
        <v>86</v>
      </c>
      <c r="X56" s="20" t="s">
        <v>11</v>
      </c>
      <c r="Y56" s="16">
        <f t="shared" si="21"/>
        <v>2287800</v>
      </c>
      <c r="Z56" s="16">
        <f t="shared" si="13"/>
        <v>550000</v>
      </c>
      <c r="AA56" s="16">
        <f t="shared" si="14"/>
        <v>0</v>
      </c>
      <c r="AB56" s="16">
        <f t="shared" si="15"/>
        <v>0</v>
      </c>
      <c r="AC56" s="16">
        <f t="shared" si="16"/>
        <v>33033</v>
      </c>
      <c r="AD56" s="16">
        <f t="shared" si="17"/>
        <v>0</v>
      </c>
      <c r="AE56" s="16">
        <f t="shared" si="18"/>
        <v>0</v>
      </c>
      <c r="AF56" s="16">
        <f t="shared" si="19"/>
        <v>0</v>
      </c>
      <c r="AG56" s="16">
        <f t="shared" si="20"/>
        <v>2870833</v>
      </c>
    </row>
    <row r="57" spans="1:33" s="43" customFormat="1" ht="6.75" customHeight="1" x14ac:dyDescent="0.25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0"/>
      <c r="M57" s="41"/>
      <c r="N57" s="42"/>
      <c r="O57" s="42"/>
      <c r="P57" s="42"/>
      <c r="Q57" s="42"/>
      <c r="R57" s="42"/>
      <c r="S57" s="42"/>
      <c r="T57" s="42"/>
      <c r="U57" s="42"/>
      <c r="V57" s="42"/>
      <c r="W57" s="40"/>
      <c r="X57" s="41"/>
      <c r="Y57" s="16">
        <f t="shared" si="21"/>
        <v>0</v>
      </c>
      <c r="Z57" s="16">
        <f t="shared" si="13"/>
        <v>0</v>
      </c>
      <c r="AA57" s="16">
        <f t="shared" si="14"/>
        <v>0</v>
      </c>
      <c r="AB57" s="16">
        <f t="shared" si="15"/>
        <v>0</v>
      </c>
      <c r="AC57" s="16">
        <f t="shared" si="16"/>
        <v>0</v>
      </c>
      <c r="AD57" s="16">
        <f t="shared" si="17"/>
        <v>0</v>
      </c>
      <c r="AE57" s="16">
        <f t="shared" si="18"/>
        <v>0</v>
      </c>
      <c r="AF57" s="16">
        <f t="shared" si="19"/>
        <v>0</v>
      </c>
      <c r="AG57" s="16">
        <f t="shared" si="20"/>
        <v>0</v>
      </c>
    </row>
    <row r="58" spans="1:33" s="44" customFormat="1" ht="31.5" x14ac:dyDescent="0.25">
      <c r="A58" s="19" t="s">
        <v>87</v>
      </c>
      <c r="B58" s="20" t="s">
        <v>13</v>
      </c>
      <c r="C58" s="22">
        <f>C59+C60+C63+C64+C65+C66+C67</f>
        <v>207925383</v>
      </c>
      <c r="D58" s="22">
        <f t="shared" ref="D58:J58" si="38">D59+D60+D63+D64+D65+D66+D67</f>
        <v>27264730</v>
      </c>
      <c r="E58" s="22">
        <f t="shared" si="38"/>
        <v>170469615</v>
      </c>
      <c r="F58" s="22">
        <f t="shared" si="38"/>
        <v>169141479</v>
      </c>
      <c r="G58" s="22">
        <f t="shared" si="38"/>
        <v>88006503</v>
      </c>
      <c r="H58" s="22">
        <f t="shared" si="38"/>
        <v>157122210</v>
      </c>
      <c r="I58" s="22">
        <f t="shared" si="38"/>
        <v>82091072</v>
      </c>
      <c r="J58" s="22">
        <f t="shared" si="38"/>
        <v>59784975</v>
      </c>
      <c r="K58" s="22">
        <f>SUM(C58:J58)</f>
        <v>961805967</v>
      </c>
      <c r="L58" s="19" t="s">
        <v>87</v>
      </c>
      <c r="M58" s="20" t="s">
        <v>13</v>
      </c>
      <c r="N58" s="22">
        <f>N59+N60+N63+N64+N65+N66+N67</f>
        <v>210213183</v>
      </c>
      <c r="O58" s="22">
        <f t="shared" ref="O58:U58" si="39">O59+O60+O63+O64+O65+O66+O67</f>
        <v>27814730</v>
      </c>
      <c r="P58" s="22">
        <f t="shared" si="39"/>
        <v>170469615</v>
      </c>
      <c r="Q58" s="22">
        <f t="shared" si="39"/>
        <v>169141479</v>
      </c>
      <c r="R58" s="22">
        <f t="shared" si="39"/>
        <v>88039536</v>
      </c>
      <c r="S58" s="22">
        <f t="shared" si="39"/>
        <v>157122210</v>
      </c>
      <c r="T58" s="22">
        <f t="shared" si="39"/>
        <v>82091072</v>
      </c>
      <c r="U58" s="22">
        <f t="shared" si="39"/>
        <v>59784975</v>
      </c>
      <c r="V58" s="22">
        <f>SUM(N58:U58)</f>
        <v>964676800</v>
      </c>
      <c r="W58" s="19" t="s">
        <v>87</v>
      </c>
      <c r="X58" s="20" t="s">
        <v>13</v>
      </c>
      <c r="Y58" s="16">
        <f t="shared" si="21"/>
        <v>2287800</v>
      </c>
      <c r="Z58" s="16">
        <f t="shared" si="13"/>
        <v>550000</v>
      </c>
      <c r="AA58" s="16">
        <f t="shared" si="14"/>
        <v>0</v>
      </c>
      <c r="AB58" s="16">
        <f t="shared" si="15"/>
        <v>0</v>
      </c>
      <c r="AC58" s="16">
        <f t="shared" si="16"/>
        <v>33033</v>
      </c>
      <c r="AD58" s="16">
        <f t="shared" si="17"/>
        <v>0</v>
      </c>
      <c r="AE58" s="16">
        <f t="shared" si="18"/>
        <v>0</v>
      </c>
      <c r="AF58" s="16">
        <f t="shared" si="19"/>
        <v>0</v>
      </c>
      <c r="AG58" s="16">
        <f t="shared" si="20"/>
        <v>2870833</v>
      </c>
    </row>
    <row r="59" spans="1:33" s="10" customFormat="1" ht="31.5" x14ac:dyDescent="0.25">
      <c r="A59" s="45" t="s">
        <v>88</v>
      </c>
      <c r="B59" s="31" t="s">
        <v>37</v>
      </c>
      <c r="C59" s="32">
        <f>0+88021429</f>
        <v>88021429</v>
      </c>
      <c r="D59" s="32">
        <f>0+9813410</f>
        <v>9813410</v>
      </c>
      <c r="E59" s="32">
        <f>152325541+2066370</f>
        <v>154391911</v>
      </c>
      <c r="F59" s="32">
        <f>91830694+40519794</f>
        <v>132350488</v>
      </c>
      <c r="G59" s="32">
        <f>66453452+255607</f>
        <v>66709059</v>
      </c>
      <c r="H59" s="32">
        <f>146524426-3676580</f>
        <v>142847846</v>
      </c>
      <c r="I59" s="32">
        <f>70459293+1795365</f>
        <v>72254658</v>
      </c>
      <c r="J59" s="32">
        <f>45750410+3362925</f>
        <v>49113335</v>
      </c>
      <c r="K59" s="32">
        <f t="shared" si="31"/>
        <v>715502136</v>
      </c>
      <c r="L59" s="45" t="s">
        <v>88</v>
      </c>
      <c r="M59" s="31" t="s">
        <v>37</v>
      </c>
      <c r="N59" s="32">
        <f>0+88021429</f>
        <v>88021429</v>
      </c>
      <c r="O59" s="32">
        <f>0+9813410</f>
        <v>9813410</v>
      </c>
      <c r="P59" s="32">
        <f>152325541+2066370</f>
        <v>154391911</v>
      </c>
      <c r="Q59" s="32">
        <f>91830694+40519794</f>
        <v>132350488</v>
      </c>
      <c r="R59" s="32">
        <f>66453452+255607</f>
        <v>66709059</v>
      </c>
      <c r="S59" s="32">
        <f>146524426-3676580</f>
        <v>142847846</v>
      </c>
      <c r="T59" s="32">
        <f>70459293+1795365</f>
        <v>72254658</v>
      </c>
      <c r="U59" s="32">
        <f>45750410+3362925</f>
        <v>49113335</v>
      </c>
      <c r="V59" s="32">
        <f t="shared" ref="V59:V60" si="40">SUM(N59:U59)</f>
        <v>715502136</v>
      </c>
      <c r="W59" s="45" t="s">
        <v>88</v>
      </c>
      <c r="X59" s="31" t="s">
        <v>37</v>
      </c>
      <c r="Y59" s="16">
        <f t="shared" si="21"/>
        <v>0</v>
      </c>
      <c r="Z59" s="16">
        <f t="shared" si="13"/>
        <v>0</v>
      </c>
      <c r="AA59" s="16">
        <f t="shared" si="14"/>
        <v>0</v>
      </c>
      <c r="AB59" s="16">
        <f t="shared" si="15"/>
        <v>0</v>
      </c>
      <c r="AC59" s="16">
        <f t="shared" si="16"/>
        <v>0</v>
      </c>
      <c r="AD59" s="16">
        <f t="shared" si="17"/>
        <v>0</v>
      </c>
      <c r="AE59" s="16">
        <f t="shared" si="18"/>
        <v>0</v>
      </c>
      <c r="AF59" s="16">
        <f t="shared" si="19"/>
        <v>0</v>
      </c>
      <c r="AG59" s="16">
        <f t="shared" si="20"/>
        <v>0</v>
      </c>
    </row>
    <row r="60" spans="1:33" s="44" customFormat="1" x14ac:dyDescent="0.25">
      <c r="A60" s="45" t="s">
        <v>110</v>
      </c>
      <c r="B60" s="31" t="s">
        <v>96</v>
      </c>
      <c r="C60" s="16">
        <f>C61+C62</f>
        <v>105085028</v>
      </c>
      <c r="D60" s="16">
        <f>D61+D62</f>
        <v>11441698</v>
      </c>
      <c r="E60" s="16">
        <f t="shared" ref="E60:J60" si="41">E61+E62</f>
        <v>6464703</v>
      </c>
      <c r="F60" s="16">
        <f t="shared" si="41"/>
        <v>28634752</v>
      </c>
      <c r="G60" s="16">
        <f t="shared" si="41"/>
        <v>13883816</v>
      </c>
      <c r="H60" s="16">
        <f t="shared" si="41"/>
        <v>5492400</v>
      </c>
      <c r="I60" s="16">
        <f t="shared" si="41"/>
        <v>6688997</v>
      </c>
      <c r="J60" s="16">
        <f t="shared" si="41"/>
        <v>6088084</v>
      </c>
      <c r="K60" s="16">
        <f t="shared" si="31"/>
        <v>183779478</v>
      </c>
      <c r="L60" s="45" t="s">
        <v>110</v>
      </c>
      <c r="M60" s="31" t="s">
        <v>96</v>
      </c>
      <c r="N60" s="16">
        <f>N61+N62</f>
        <v>105085028</v>
      </c>
      <c r="O60" s="16">
        <f>O61+O62</f>
        <v>11441698</v>
      </c>
      <c r="P60" s="16">
        <f t="shared" ref="P60:U60" si="42">P61+P62</f>
        <v>6464703</v>
      </c>
      <c r="Q60" s="16">
        <f t="shared" si="42"/>
        <v>28634752</v>
      </c>
      <c r="R60" s="16">
        <f t="shared" si="42"/>
        <v>13883816</v>
      </c>
      <c r="S60" s="16">
        <f t="shared" si="42"/>
        <v>5492400</v>
      </c>
      <c r="T60" s="16">
        <f t="shared" si="42"/>
        <v>6688997</v>
      </c>
      <c r="U60" s="16">
        <f t="shared" si="42"/>
        <v>6088084</v>
      </c>
      <c r="V60" s="16">
        <f t="shared" si="40"/>
        <v>183779478</v>
      </c>
      <c r="W60" s="45" t="s">
        <v>110</v>
      </c>
      <c r="X60" s="31" t="s">
        <v>96</v>
      </c>
      <c r="Y60" s="16">
        <f t="shared" si="21"/>
        <v>0</v>
      </c>
      <c r="Z60" s="16">
        <f t="shared" si="13"/>
        <v>0</v>
      </c>
      <c r="AA60" s="16">
        <f t="shared" si="14"/>
        <v>0</v>
      </c>
      <c r="AB60" s="16">
        <f t="shared" si="15"/>
        <v>0</v>
      </c>
      <c r="AC60" s="16">
        <f t="shared" si="16"/>
        <v>0</v>
      </c>
      <c r="AD60" s="16">
        <f t="shared" si="17"/>
        <v>0</v>
      </c>
      <c r="AE60" s="16">
        <f t="shared" si="18"/>
        <v>0</v>
      </c>
      <c r="AF60" s="16">
        <f t="shared" si="19"/>
        <v>0</v>
      </c>
      <c r="AG60" s="16">
        <f t="shared" si="20"/>
        <v>0</v>
      </c>
    </row>
    <row r="61" spans="1:33" s="10" customFormat="1" x14ac:dyDescent="0.25">
      <c r="A61" s="14" t="s">
        <v>111</v>
      </c>
      <c r="B61" s="15" t="s">
        <v>66</v>
      </c>
      <c r="C61" s="16">
        <f t="shared" ref="C61:J61" si="43">C16</f>
        <v>83354160</v>
      </c>
      <c r="D61" s="16">
        <f t="shared" si="43"/>
        <v>1980904</v>
      </c>
      <c r="E61" s="16">
        <f t="shared" si="43"/>
        <v>213707</v>
      </c>
      <c r="F61" s="16">
        <f t="shared" si="43"/>
        <v>15917310</v>
      </c>
      <c r="G61" s="16">
        <f t="shared" si="43"/>
        <v>4854094</v>
      </c>
      <c r="H61" s="16">
        <f t="shared" si="43"/>
        <v>1230308</v>
      </c>
      <c r="I61" s="16">
        <f t="shared" si="43"/>
        <v>2475050</v>
      </c>
      <c r="J61" s="16">
        <f t="shared" si="43"/>
        <v>1557938</v>
      </c>
      <c r="K61" s="16">
        <f>SUM(C61:J61)</f>
        <v>111583471</v>
      </c>
      <c r="L61" s="14" t="s">
        <v>111</v>
      </c>
      <c r="M61" s="15" t="s">
        <v>66</v>
      </c>
      <c r="N61" s="16">
        <f t="shared" ref="N61:U61" si="44">N16</f>
        <v>83354160</v>
      </c>
      <c r="O61" s="16">
        <f t="shared" si="44"/>
        <v>1980904</v>
      </c>
      <c r="P61" s="16">
        <f t="shared" si="44"/>
        <v>213707</v>
      </c>
      <c r="Q61" s="16">
        <f t="shared" si="44"/>
        <v>15917310</v>
      </c>
      <c r="R61" s="16">
        <f t="shared" si="44"/>
        <v>4854094</v>
      </c>
      <c r="S61" s="16">
        <f t="shared" si="44"/>
        <v>1230308</v>
      </c>
      <c r="T61" s="16">
        <f t="shared" si="44"/>
        <v>2475050</v>
      </c>
      <c r="U61" s="16">
        <f t="shared" si="44"/>
        <v>1557938</v>
      </c>
      <c r="V61" s="16">
        <f>SUM(N61:U61)</f>
        <v>111583471</v>
      </c>
      <c r="W61" s="14" t="s">
        <v>111</v>
      </c>
      <c r="X61" s="15" t="s">
        <v>66</v>
      </c>
      <c r="Y61" s="16">
        <f t="shared" si="21"/>
        <v>0</v>
      </c>
      <c r="Z61" s="16">
        <f t="shared" si="13"/>
        <v>0</v>
      </c>
      <c r="AA61" s="16">
        <f t="shared" si="14"/>
        <v>0</v>
      </c>
      <c r="AB61" s="16">
        <f t="shared" si="15"/>
        <v>0</v>
      </c>
      <c r="AC61" s="16">
        <f t="shared" si="16"/>
        <v>0</v>
      </c>
      <c r="AD61" s="16">
        <f t="shared" si="17"/>
        <v>0</v>
      </c>
      <c r="AE61" s="16">
        <f t="shared" si="18"/>
        <v>0</v>
      </c>
      <c r="AF61" s="16">
        <f t="shared" si="19"/>
        <v>0</v>
      </c>
      <c r="AG61" s="16">
        <f t="shared" si="20"/>
        <v>0</v>
      </c>
    </row>
    <row r="62" spans="1:33" s="10" customFormat="1" ht="110.25" x14ac:dyDescent="0.25">
      <c r="A62" s="14" t="s">
        <v>112</v>
      </c>
      <c r="B62" s="15" t="s">
        <v>92</v>
      </c>
      <c r="C62" s="16">
        <f>C17</f>
        <v>21730868</v>
      </c>
      <c r="D62" s="16">
        <f t="shared" ref="D62:J62" si="45">D17</f>
        <v>9460794</v>
      </c>
      <c r="E62" s="16">
        <f t="shared" si="45"/>
        <v>6250996</v>
      </c>
      <c r="F62" s="16">
        <f t="shared" si="45"/>
        <v>12717442</v>
      </c>
      <c r="G62" s="16">
        <f t="shared" si="45"/>
        <v>9029722</v>
      </c>
      <c r="H62" s="16">
        <f t="shared" si="45"/>
        <v>4262092</v>
      </c>
      <c r="I62" s="16">
        <f t="shared" si="45"/>
        <v>4213947</v>
      </c>
      <c r="J62" s="16">
        <f t="shared" si="45"/>
        <v>4530146</v>
      </c>
      <c r="K62" s="16">
        <f>SUM(C62:J62)</f>
        <v>72196007</v>
      </c>
      <c r="L62" s="14" t="s">
        <v>112</v>
      </c>
      <c r="M62" s="15" t="s">
        <v>92</v>
      </c>
      <c r="N62" s="16">
        <f>N17</f>
        <v>21730868</v>
      </c>
      <c r="O62" s="16">
        <f t="shared" ref="O62:U62" si="46">O17</f>
        <v>9460794</v>
      </c>
      <c r="P62" s="16">
        <f t="shared" si="46"/>
        <v>6250996</v>
      </c>
      <c r="Q62" s="16">
        <f t="shared" si="46"/>
        <v>12717442</v>
      </c>
      <c r="R62" s="16">
        <f t="shared" si="46"/>
        <v>9029722</v>
      </c>
      <c r="S62" s="16">
        <f t="shared" si="46"/>
        <v>4262092</v>
      </c>
      <c r="T62" s="16">
        <f t="shared" si="46"/>
        <v>4213947</v>
      </c>
      <c r="U62" s="16">
        <f t="shared" si="46"/>
        <v>4530146</v>
      </c>
      <c r="V62" s="16">
        <f>SUM(N62:U62)</f>
        <v>72196007</v>
      </c>
      <c r="W62" s="14" t="s">
        <v>112</v>
      </c>
      <c r="X62" s="15" t="s">
        <v>92</v>
      </c>
      <c r="Y62" s="16">
        <f t="shared" si="21"/>
        <v>0</v>
      </c>
      <c r="Z62" s="16">
        <f t="shared" si="13"/>
        <v>0</v>
      </c>
      <c r="AA62" s="16">
        <f t="shared" si="14"/>
        <v>0</v>
      </c>
      <c r="AB62" s="16">
        <f t="shared" si="15"/>
        <v>0</v>
      </c>
      <c r="AC62" s="16">
        <f t="shared" si="16"/>
        <v>0</v>
      </c>
      <c r="AD62" s="16">
        <f t="shared" si="17"/>
        <v>0</v>
      </c>
      <c r="AE62" s="16">
        <f t="shared" si="18"/>
        <v>0</v>
      </c>
      <c r="AF62" s="16">
        <f t="shared" si="19"/>
        <v>0</v>
      </c>
      <c r="AG62" s="16">
        <f t="shared" si="20"/>
        <v>0</v>
      </c>
    </row>
    <row r="63" spans="1:33" s="10" customFormat="1" ht="63" x14ac:dyDescent="0.25">
      <c r="A63" s="14" t="s">
        <v>89</v>
      </c>
      <c r="B63" s="15" t="s">
        <v>115</v>
      </c>
      <c r="C63" s="16">
        <v>9526571</v>
      </c>
      <c r="D63" s="16">
        <v>5847012</v>
      </c>
      <c r="E63" s="16">
        <v>6988088</v>
      </c>
      <c r="F63" s="16">
        <v>7341579</v>
      </c>
      <c r="G63" s="16">
        <v>6273434</v>
      </c>
      <c r="H63" s="16">
        <v>5977034</v>
      </c>
      <c r="I63" s="16">
        <v>2741677</v>
      </c>
      <c r="J63" s="16">
        <v>1625554</v>
      </c>
      <c r="K63" s="16">
        <f t="shared" ref="K63:K67" si="47">SUM(C63:J63)</f>
        <v>46320949</v>
      </c>
      <c r="L63" s="14" t="s">
        <v>89</v>
      </c>
      <c r="M63" s="15" t="s">
        <v>115</v>
      </c>
      <c r="N63" s="16">
        <v>9526571</v>
      </c>
      <c r="O63" s="16">
        <v>5847012</v>
      </c>
      <c r="P63" s="16">
        <v>6988088</v>
      </c>
      <c r="Q63" s="16">
        <v>7341579</v>
      </c>
      <c r="R63" s="16">
        <v>6273434</v>
      </c>
      <c r="S63" s="16">
        <v>5977034</v>
      </c>
      <c r="T63" s="16">
        <v>2741677</v>
      </c>
      <c r="U63" s="16">
        <v>1625554</v>
      </c>
      <c r="V63" s="16">
        <f t="shared" ref="V63:V67" si="48">SUM(N63:U63)</f>
        <v>46320949</v>
      </c>
      <c r="W63" s="14" t="s">
        <v>89</v>
      </c>
      <c r="X63" s="15" t="s">
        <v>115</v>
      </c>
      <c r="Y63" s="16">
        <f t="shared" si="21"/>
        <v>0</v>
      </c>
      <c r="Z63" s="16">
        <f t="shared" si="13"/>
        <v>0</v>
      </c>
      <c r="AA63" s="16">
        <f t="shared" si="14"/>
        <v>0</v>
      </c>
      <c r="AB63" s="16">
        <f t="shared" si="15"/>
        <v>0</v>
      </c>
      <c r="AC63" s="16">
        <f t="shared" si="16"/>
        <v>0</v>
      </c>
      <c r="AD63" s="16">
        <f t="shared" si="17"/>
        <v>0</v>
      </c>
      <c r="AE63" s="16">
        <f t="shared" si="18"/>
        <v>0</v>
      </c>
      <c r="AF63" s="16">
        <f t="shared" si="19"/>
        <v>0</v>
      </c>
      <c r="AG63" s="16">
        <f t="shared" si="20"/>
        <v>0</v>
      </c>
    </row>
    <row r="64" spans="1:33" s="10" customFormat="1" ht="63" x14ac:dyDescent="0.25">
      <c r="A64" s="14" t="s">
        <v>90</v>
      </c>
      <c r="B64" s="15" t="s">
        <v>116</v>
      </c>
      <c r="C64" s="16">
        <f>0</f>
        <v>0</v>
      </c>
      <c r="D64" s="16"/>
      <c r="E64" s="16">
        <v>1860</v>
      </c>
      <c r="F64" s="16"/>
      <c r="G64" s="16">
        <v>747000</v>
      </c>
      <c r="H64" s="16">
        <v>267546</v>
      </c>
      <c r="I64" s="16"/>
      <c r="J64" s="16"/>
      <c r="K64" s="16">
        <f t="shared" si="47"/>
        <v>1016406</v>
      </c>
      <c r="L64" s="14" t="s">
        <v>90</v>
      </c>
      <c r="M64" s="15" t="s">
        <v>116</v>
      </c>
      <c r="N64" s="16">
        <f>0</f>
        <v>0</v>
      </c>
      <c r="O64" s="16"/>
      <c r="P64" s="16">
        <v>1860</v>
      </c>
      <c r="Q64" s="16"/>
      <c r="R64" s="16">
        <v>747000</v>
      </c>
      <c r="S64" s="16">
        <v>267546</v>
      </c>
      <c r="T64" s="16"/>
      <c r="U64" s="16"/>
      <c r="V64" s="16">
        <f t="shared" si="48"/>
        <v>1016406</v>
      </c>
      <c r="W64" s="14" t="s">
        <v>90</v>
      </c>
      <c r="X64" s="15" t="s">
        <v>116</v>
      </c>
      <c r="Y64" s="16">
        <f t="shared" si="21"/>
        <v>0</v>
      </c>
      <c r="Z64" s="16">
        <f t="shared" si="13"/>
        <v>0</v>
      </c>
      <c r="AA64" s="16">
        <f t="shared" si="14"/>
        <v>0</v>
      </c>
      <c r="AB64" s="16">
        <f t="shared" si="15"/>
        <v>0</v>
      </c>
      <c r="AC64" s="16">
        <f t="shared" si="16"/>
        <v>0</v>
      </c>
      <c r="AD64" s="16">
        <f t="shared" si="17"/>
        <v>0</v>
      </c>
      <c r="AE64" s="16">
        <f t="shared" si="18"/>
        <v>0</v>
      </c>
      <c r="AF64" s="16">
        <f t="shared" si="19"/>
        <v>0</v>
      </c>
      <c r="AG64" s="16">
        <f t="shared" si="20"/>
        <v>0</v>
      </c>
    </row>
    <row r="65" spans="1:33" s="10" customFormat="1" ht="88.5" customHeight="1" x14ac:dyDescent="0.25">
      <c r="A65" s="14" t="s">
        <v>93</v>
      </c>
      <c r="B65" s="15" t="s">
        <v>117</v>
      </c>
      <c r="C65" s="16">
        <f>0</f>
        <v>0</v>
      </c>
      <c r="D65" s="16"/>
      <c r="E65" s="16">
        <v>280</v>
      </c>
      <c r="F65" s="16"/>
      <c r="G65" s="16"/>
      <c r="H65" s="16"/>
      <c r="I65" s="16"/>
      <c r="J65" s="16"/>
      <c r="K65" s="16">
        <f t="shared" si="47"/>
        <v>280</v>
      </c>
      <c r="L65" s="14" t="s">
        <v>93</v>
      </c>
      <c r="M65" s="15" t="s">
        <v>117</v>
      </c>
      <c r="N65" s="16">
        <f>0</f>
        <v>0</v>
      </c>
      <c r="O65" s="16"/>
      <c r="P65" s="16">
        <v>280</v>
      </c>
      <c r="Q65" s="16"/>
      <c r="R65" s="16"/>
      <c r="S65" s="16"/>
      <c r="T65" s="16"/>
      <c r="U65" s="16"/>
      <c r="V65" s="16">
        <f t="shared" si="48"/>
        <v>280</v>
      </c>
      <c r="W65" s="14" t="s">
        <v>93</v>
      </c>
      <c r="X65" s="15" t="s">
        <v>117</v>
      </c>
      <c r="Y65" s="16">
        <f t="shared" si="21"/>
        <v>0</v>
      </c>
      <c r="Z65" s="16">
        <f t="shared" si="13"/>
        <v>0</v>
      </c>
      <c r="AA65" s="16">
        <f t="shared" si="14"/>
        <v>0</v>
      </c>
      <c r="AB65" s="16">
        <f t="shared" si="15"/>
        <v>0</v>
      </c>
      <c r="AC65" s="16">
        <f t="shared" si="16"/>
        <v>0</v>
      </c>
      <c r="AD65" s="16">
        <f t="shared" si="17"/>
        <v>0</v>
      </c>
      <c r="AE65" s="16">
        <f t="shared" si="18"/>
        <v>0</v>
      </c>
      <c r="AF65" s="16">
        <f t="shared" si="19"/>
        <v>0</v>
      </c>
      <c r="AG65" s="16">
        <f t="shared" si="20"/>
        <v>0</v>
      </c>
    </row>
    <row r="66" spans="1:33" s="10" customFormat="1" ht="31.5" x14ac:dyDescent="0.25">
      <c r="A66" s="14" t="s">
        <v>118</v>
      </c>
      <c r="B66" s="15" t="s">
        <v>119</v>
      </c>
      <c r="C66" s="16">
        <v>3458565</v>
      </c>
      <c r="D66" s="16"/>
      <c r="E66" s="16">
        <v>1565003</v>
      </c>
      <c r="F66" s="16">
        <v>32200</v>
      </c>
      <c r="G66" s="16">
        <v>6794</v>
      </c>
      <c r="H66" s="16">
        <f>1044490+607394</f>
        <v>1651884</v>
      </c>
      <c r="I66" s="16">
        <v>29000</v>
      </c>
      <c r="J66" s="16">
        <v>2763192</v>
      </c>
      <c r="K66" s="16">
        <f t="shared" si="47"/>
        <v>9506638</v>
      </c>
      <c r="L66" s="14" t="s">
        <v>118</v>
      </c>
      <c r="M66" s="15" t="s">
        <v>119</v>
      </c>
      <c r="N66" s="16">
        <f>3458565+2287800</f>
        <v>5746365</v>
      </c>
      <c r="O66" s="16">
        <v>550000</v>
      </c>
      <c r="P66" s="16">
        <v>1565003</v>
      </c>
      <c r="Q66" s="16">
        <v>32200</v>
      </c>
      <c r="R66" s="16">
        <f>6794+33033</f>
        <v>39827</v>
      </c>
      <c r="S66" s="16">
        <f>1044490+607394</f>
        <v>1651884</v>
      </c>
      <c r="T66" s="16">
        <v>29000</v>
      </c>
      <c r="U66" s="16">
        <v>2763192</v>
      </c>
      <c r="V66" s="16">
        <f t="shared" si="48"/>
        <v>12377471</v>
      </c>
      <c r="W66" s="14" t="s">
        <v>118</v>
      </c>
      <c r="X66" s="15" t="s">
        <v>119</v>
      </c>
      <c r="Y66" s="16">
        <f t="shared" si="21"/>
        <v>2287800</v>
      </c>
      <c r="Z66" s="16">
        <f t="shared" si="13"/>
        <v>550000</v>
      </c>
      <c r="AA66" s="16">
        <f t="shared" si="14"/>
        <v>0</v>
      </c>
      <c r="AB66" s="16">
        <f t="shared" si="15"/>
        <v>0</v>
      </c>
      <c r="AC66" s="16">
        <f t="shared" si="16"/>
        <v>33033</v>
      </c>
      <c r="AD66" s="16">
        <f t="shared" si="17"/>
        <v>0</v>
      </c>
      <c r="AE66" s="16">
        <f t="shared" si="18"/>
        <v>0</v>
      </c>
      <c r="AF66" s="16">
        <f t="shared" si="19"/>
        <v>0</v>
      </c>
      <c r="AG66" s="16">
        <f t="shared" si="20"/>
        <v>2870833</v>
      </c>
    </row>
    <row r="67" spans="1:33" s="10" customFormat="1" ht="94.5" x14ac:dyDescent="0.25">
      <c r="A67" s="14" t="s">
        <v>120</v>
      </c>
      <c r="B67" s="15" t="s">
        <v>121</v>
      </c>
      <c r="C67" s="16">
        <v>1833790</v>
      </c>
      <c r="D67" s="16">
        <v>162610</v>
      </c>
      <c r="E67" s="16">
        <v>1057770</v>
      </c>
      <c r="F67" s="16">
        <v>782460</v>
      </c>
      <c r="G67" s="16">
        <v>386400</v>
      </c>
      <c r="H67" s="16">
        <v>885500</v>
      </c>
      <c r="I67" s="16">
        <v>376740</v>
      </c>
      <c r="J67" s="16">
        <v>194810</v>
      </c>
      <c r="K67" s="16">
        <f t="shared" si="47"/>
        <v>5680080</v>
      </c>
      <c r="L67" s="14" t="s">
        <v>120</v>
      </c>
      <c r="M67" s="15" t="s">
        <v>121</v>
      </c>
      <c r="N67" s="16">
        <v>1833790</v>
      </c>
      <c r="O67" s="16">
        <v>162610</v>
      </c>
      <c r="P67" s="16">
        <v>1057770</v>
      </c>
      <c r="Q67" s="16">
        <v>782460</v>
      </c>
      <c r="R67" s="16">
        <v>386400</v>
      </c>
      <c r="S67" s="16">
        <v>885500</v>
      </c>
      <c r="T67" s="16">
        <v>376740</v>
      </c>
      <c r="U67" s="16">
        <v>194810</v>
      </c>
      <c r="V67" s="16">
        <f t="shared" si="48"/>
        <v>5680080</v>
      </c>
      <c r="W67" s="14" t="s">
        <v>120</v>
      </c>
      <c r="X67" s="15" t="s">
        <v>121</v>
      </c>
      <c r="Y67" s="16">
        <f t="shared" si="21"/>
        <v>0</v>
      </c>
      <c r="Z67" s="16">
        <f t="shared" si="13"/>
        <v>0</v>
      </c>
      <c r="AA67" s="16">
        <f t="shared" si="14"/>
        <v>0</v>
      </c>
      <c r="AB67" s="16">
        <f t="shared" si="15"/>
        <v>0</v>
      </c>
      <c r="AC67" s="16">
        <f t="shared" si="16"/>
        <v>0</v>
      </c>
      <c r="AD67" s="16">
        <f t="shared" si="17"/>
        <v>0</v>
      </c>
      <c r="AE67" s="16">
        <f t="shared" si="18"/>
        <v>0</v>
      </c>
      <c r="AF67" s="16">
        <f t="shared" si="19"/>
        <v>0</v>
      </c>
      <c r="AG67" s="16">
        <f t="shared" si="20"/>
        <v>0</v>
      </c>
    </row>
    <row r="68" spans="1:33" s="10" customFormat="1" ht="6" customHeight="1" x14ac:dyDescent="0.25">
      <c r="A68" s="45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5"/>
      <c r="M68" s="46"/>
      <c r="N68" s="47"/>
      <c r="O68" s="47"/>
      <c r="P68" s="47"/>
      <c r="Q68" s="47"/>
      <c r="R68" s="47"/>
      <c r="S68" s="47"/>
      <c r="T68" s="47"/>
      <c r="U68" s="47"/>
      <c r="V68" s="47"/>
      <c r="W68" s="45"/>
      <c r="X68" s="46"/>
      <c r="Y68" s="16">
        <f t="shared" si="21"/>
        <v>0</v>
      </c>
      <c r="Z68" s="16">
        <f t="shared" si="13"/>
        <v>0</v>
      </c>
      <c r="AA68" s="16">
        <f t="shared" si="14"/>
        <v>0</v>
      </c>
      <c r="AB68" s="16">
        <f t="shared" si="15"/>
        <v>0</v>
      </c>
      <c r="AC68" s="16">
        <f t="shared" si="16"/>
        <v>0</v>
      </c>
      <c r="AD68" s="16">
        <f t="shared" si="17"/>
        <v>0</v>
      </c>
      <c r="AE68" s="16">
        <f t="shared" si="18"/>
        <v>0</v>
      </c>
      <c r="AF68" s="16">
        <f t="shared" si="19"/>
        <v>0</v>
      </c>
      <c r="AG68" s="16">
        <f t="shared" si="20"/>
        <v>0</v>
      </c>
    </row>
    <row r="69" spans="1:33" s="48" customFormat="1" ht="31.5" x14ac:dyDescent="0.25">
      <c r="A69" s="19" t="s">
        <v>113</v>
      </c>
      <c r="B69" s="20" t="s">
        <v>95</v>
      </c>
      <c r="C69" s="22">
        <f>C70+C71+C72+C73+C74</f>
        <v>37253183</v>
      </c>
      <c r="D69" s="22">
        <f t="shared" ref="D69:J69" si="49">D70+D71+D72+D73+D74</f>
        <v>947855</v>
      </c>
      <c r="E69" s="22">
        <f t="shared" si="49"/>
        <v>21884770</v>
      </c>
      <c r="F69" s="22">
        <f t="shared" si="49"/>
        <v>25800938</v>
      </c>
      <c r="G69" s="22">
        <f t="shared" si="49"/>
        <v>15785956</v>
      </c>
      <c r="H69" s="22">
        <f t="shared" si="49"/>
        <v>26570917</v>
      </c>
      <c r="I69" s="22">
        <f t="shared" si="49"/>
        <v>15434505</v>
      </c>
      <c r="J69" s="22">
        <f t="shared" si="49"/>
        <v>13980542</v>
      </c>
      <c r="K69" s="22">
        <f>K70+K71+K72+K73+K74</f>
        <v>157658666</v>
      </c>
      <c r="L69" s="19" t="s">
        <v>113</v>
      </c>
      <c r="M69" s="20" t="s">
        <v>95</v>
      </c>
      <c r="N69" s="22">
        <f>N70+N71+N72+N73+N74</f>
        <v>34673534</v>
      </c>
      <c r="O69" s="22">
        <f t="shared" ref="O69:U69" si="50">O70+O71+O72+O73+O74</f>
        <v>947855</v>
      </c>
      <c r="P69" s="22">
        <f t="shared" si="50"/>
        <v>21884770</v>
      </c>
      <c r="Q69" s="22">
        <f t="shared" si="50"/>
        <v>25800938</v>
      </c>
      <c r="R69" s="22">
        <f t="shared" si="50"/>
        <v>15785956</v>
      </c>
      <c r="S69" s="22">
        <f t="shared" si="50"/>
        <v>26570917</v>
      </c>
      <c r="T69" s="22">
        <f t="shared" si="50"/>
        <v>15434505</v>
      </c>
      <c r="U69" s="22">
        <f t="shared" si="50"/>
        <v>13980542</v>
      </c>
      <c r="V69" s="22">
        <f>V70+V71+V72+V73+V74</f>
        <v>155079017</v>
      </c>
      <c r="W69" s="19" t="s">
        <v>113</v>
      </c>
      <c r="X69" s="20" t="s">
        <v>95</v>
      </c>
      <c r="Y69" s="16">
        <f t="shared" si="21"/>
        <v>-2579649</v>
      </c>
      <c r="Z69" s="16">
        <f t="shared" si="13"/>
        <v>0</v>
      </c>
      <c r="AA69" s="16">
        <f t="shared" si="14"/>
        <v>0</v>
      </c>
      <c r="AB69" s="16">
        <f t="shared" si="15"/>
        <v>0</v>
      </c>
      <c r="AC69" s="16">
        <f t="shared" si="16"/>
        <v>0</v>
      </c>
      <c r="AD69" s="16">
        <f t="shared" si="17"/>
        <v>0</v>
      </c>
      <c r="AE69" s="16">
        <f t="shared" si="18"/>
        <v>0</v>
      </c>
      <c r="AF69" s="16">
        <f t="shared" si="19"/>
        <v>0</v>
      </c>
      <c r="AG69" s="16">
        <f t="shared" si="20"/>
        <v>-2579649</v>
      </c>
    </row>
    <row r="70" spans="1:33" s="48" customFormat="1" ht="31.5" x14ac:dyDescent="0.25">
      <c r="A70" s="45" t="s">
        <v>114</v>
      </c>
      <c r="B70" s="31" t="s">
        <v>20</v>
      </c>
      <c r="C70" s="32">
        <f>1881391-600000-264985</f>
        <v>1016406</v>
      </c>
      <c r="D70" s="32">
        <f>243150-150000-4936</f>
        <v>88214</v>
      </c>
      <c r="E70" s="32">
        <f>1107411-600000-111749</f>
        <v>395662</v>
      </c>
      <c r="F70" s="32">
        <f>908086-340000-124331</f>
        <v>443755</v>
      </c>
      <c r="G70" s="32">
        <f>536648-340000-16008</f>
        <v>180640</v>
      </c>
      <c r="H70" s="32">
        <f>721065-340000+12555</f>
        <v>393620</v>
      </c>
      <c r="I70" s="32">
        <f>560000-340000-15483</f>
        <v>204517</v>
      </c>
      <c r="J70" s="32">
        <f>446550-340000-23156</f>
        <v>83394</v>
      </c>
      <c r="K70" s="26">
        <f t="shared" ref="K70:K71" si="51">SUM(C70:J70)</f>
        <v>2806208</v>
      </c>
      <c r="L70" s="45" t="s">
        <v>114</v>
      </c>
      <c r="M70" s="31" t="s">
        <v>20</v>
      </c>
      <c r="N70" s="32">
        <f>1881391-600000-264985</f>
        <v>1016406</v>
      </c>
      <c r="O70" s="32">
        <f>243150-150000-4936</f>
        <v>88214</v>
      </c>
      <c r="P70" s="32">
        <f>1107411-600000-111749</f>
        <v>395662</v>
      </c>
      <c r="Q70" s="32">
        <f>908086-340000-124331</f>
        <v>443755</v>
      </c>
      <c r="R70" s="32">
        <f>536648-340000-16008</f>
        <v>180640</v>
      </c>
      <c r="S70" s="32">
        <f>721065-340000+12555</f>
        <v>393620</v>
      </c>
      <c r="T70" s="32">
        <f>560000-340000-15483</f>
        <v>204517</v>
      </c>
      <c r="U70" s="32">
        <f>446550-340000-23156</f>
        <v>83394</v>
      </c>
      <c r="V70" s="26">
        <f t="shared" ref="V70:V71" si="52">SUM(N70:U70)</f>
        <v>2806208</v>
      </c>
      <c r="W70" s="45" t="s">
        <v>114</v>
      </c>
      <c r="X70" s="31" t="s">
        <v>20</v>
      </c>
      <c r="Y70" s="16">
        <f t="shared" si="21"/>
        <v>0</v>
      </c>
      <c r="Z70" s="16">
        <f t="shared" si="13"/>
        <v>0</v>
      </c>
      <c r="AA70" s="16">
        <f t="shared" si="14"/>
        <v>0</v>
      </c>
      <c r="AB70" s="16">
        <f t="shared" si="15"/>
        <v>0</v>
      </c>
      <c r="AC70" s="16">
        <f t="shared" si="16"/>
        <v>0</v>
      </c>
      <c r="AD70" s="16">
        <f t="shared" si="17"/>
        <v>0</v>
      </c>
      <c r="AE70" s="16">
        <f t="shared" si="18"/>
        <v>0</v>
      </c>
      <c r="AF70" s="16">
        <f t="shared" si="19"/>
        <v>0</v>
      </c>
      <c r="AG70" s="16">
        <f t="shared" si="20"/>
        <v>0</v>
      </c>
    </row>
    <row r="71" spans="1:33" s="48" customFormat="1" ht="31.5" x14ac:dyDescent="0.25">
      <c r="A71" s="45" t="s">
        <v>122</v>
      </c>
      <c r="B71" s="31" t="s">
        <v>24</v>
      </c>
      <c r="C71" s="32">
        <f>43016291-11884768-5404098</f>
        <v>25727425</v>
      </c>
      <c r="D71" s="32">
        <f>1437509-415986-161882</f>
        <v>859641</v>
      </c>
      <c r="E71" s="32">
        <f>29770597-4220666-4060823</f>
        <v>21489108</v>
      </c>
      <c r="F71" s="32">
        <f>43899310-12442282-6099845</f>
        <v>25357183</v>
      </c>
      <c r="G71" s="32">
        <f>31030390-11002600-4422474</f>
        <v>15605316</v>
      </c>
      <c r="H71" s="32">
        <f>47439065-16244109-5017659</f>
        <v>26177297</v>
      </c>
      <c r="I71" s="32">
        <f>28303128-9529538-3543602</f>
        <v>15229988</v>
      </c>
      <c r="J71" s="32">
        <f>24067143-8956965-1213030</f>
        <v>13897148</v>
      </c>
      <c r="K71" s="26">
        <f t="shared" si="51"/>
        <v>144343106</v>
      </c>
      <c r="L71" s="45" t="s">
        <v>122</v>
      </c>
      <c r="M71" s="31" t="s">
        <v>24</v>
      </c>
      <c r="N71" s="32">
        <f>43016291-11884768-5404098-2579649</f>
        <v>23147776</v>
      </c>
      <c r="O71" s="32">
        <f>1437509-415986-161882</f>
        <v>859641</v>
      </c>
      <c r="P71" s="32">
        <f>29770597-4220666-4060823</f>
        <v>21489108</v>
      </c>
      <c r="Q71" s="32">
        <f>43899310-12442282-6099845</f>
        <v>25357183</v>
      </c>
      <c r="R71" s="32">
        <f>31030390-11002600-4422474</f>
        <v>15605316</v>
      </c>
      <c r="S71" s="32">
        <f>47439065-16244109-5017659</f>
        <v>26177297</v>
      </c>
      <c r="T71" s="32">
        <f>28303128-9529538-3543602</f>
        <v>15229988</v>
      </c>
      <c r="U71" s="32">
        <f>24067143-8956965-1213030</f>
        <v>13897148</v>
      </c>
      <c r="V71" s="26">
        <f t="shared" si="52"/>
        <v>141763457</v>
      </c>
      <c r="W71" s="45" t="s">
        <v>122</v>
      </c>
      <c r="X71" s="31" t="s">
        <v>24</v>
      </c>
      <c r="Y71" s="16">
        <f t="shared" si="21"/>
        <v>-2579649</v>
      </c>
      <c r="Z71" s="16">
        <f t="shared" si="13"/>
        <v>0</v>
      </c>
      <c r="AA71" s="16">
        <f t="shared" si="14"/>
        <v>0</v>
      </c>
      <c r="AB71" s="16">
        <f t="shared" si="15"/>
        <v>0</v>
      </c>
      <c r="AC71" s="16">
        <f t="shared" si="16"/>
        <v>0</v>
      </c>
      <c r="AD71" s="16">
        <f t="shared" si="17"/>
        <v>0</v>
      </c>
      <c r="AE71" s="16">
        <f t="shared" si="18"/>
        <v>0</v>
      </c>
      <c r="AF71" s="16">
        <f t="shared" si="19"/>
        <v>0</v>
      </c>
      <c r="AG71" s="16">
        <f t="shared" si="20"/>
        <v>-2579649</v>
      </c>
    </row>
    <row r="72" spans="1:33" s="48" customFormat="1" ht="31.5" x14ac:dyDescent="0.25">
      <c r="A72" s="45" t="s">
        <v>123</v>
      </c>
      <c r="B72" s="31" t="s">
        <v>91</v>
      </c>
      <c r="C72" s="32"/>
      <c r="D72" s="32"/>
      <c r="E72" s="32">
        <f>821924-821924</f>
        <v>0</v>
      </c>
      <c r="F72" s="32"/>
      <c r="G72" s="32"/>
      <c r="H72" s="32"/>
      <c r="I72" s="32"/>
      <c r="J72" s="32"/>
      <c r="K72" s="26">
        <f t="shared" ref="K72:K73" si="53">SUM(C72:J72)</f>
        <v>0</v>
      </c>
      <c r="L72" s="45" t="s">
        <v>123</v>
      </c>
      <c r="M72" s="31" t="s">
        <v>91</v>
      </c>
      <c r="N72" s="32"/>
      <c r="O72" s="32"/>
      <c r="P72" s="32">
        <f>821924-821924</f>
        <v>0</v>
      </c>
      <c r="Q72" s="32"/>
      <c r="R72" s="32"/>
      <c r="S72" s="32"/>
      <c r="T72" s="32"/>
      <c r="U72" s="32"/>
      <c r="V72" s="26">
        <f t="shared" ref="V72:V73" si="54">SUM(N72:U72)</f>
        <v>0</v>
      </c>
      <c r="W72" s="45" t="s">
        <v>123</v>
      </c>
      <c r="X72" s="31" t="s">
        <v>91</v>
      </c>
      <c r="Y72" s="16">
        <f t="shared" si="21"/>
        <v>0</v>
      </c>
      <c r="Z72" s="16">
        <f t="shared" si="13"/>
        <v>0</v>
      </c>
      <c r="AA72" s="16">
        <f t="shared" si="14"/>
        <v>0</v>
      </c>
      <c r="AB72" s="16">
        <f t="shared" si="15"/>
        <v>0</v>
      </c>
      <c r="AC72" s="16">
        <f t="shared" si="16"/>
        <v>0</v>
      </c>
      <c r="AD72" s="16">
        <f t="shared" si="17"/>
        <v>0</v>
      </c>
      <c r="AE72" s="16">
        <f t="shared" si="18"/>
        <v>0</v>
      </c>
      <c r="AF72" s="16">
        <f t="shared" si="19"/>
        <v>0</v>
      </c>
      <c r="AG72" s="16">
        <f t="shared" si="20"/>
        <v>0</v>
      </c>
    </row>
    <row r="73" spans="1:33" s="48" customFormat="1" ht="31.5" x14ac:dyDescent="0.25">
      <c r="A73" s="49" t="s">
        <v>124</v>
      </c>
      <c r="B73" s="18" t="s">
        <v>40</v>
      </c>
      <c r="C73" s="16">
        <f>509353-1</f>
        <v>509352</v>
      </c>
      <c r="D73" s="16"/>
      <c r="E73" s="16"/>
      <c r="F73" s="16"/>
      <c r="G73" s="47"/>
      <c r="H73" s="16"/>
      <c r="I73" s="16"/>
      <c r="J73" s="16"/>
      <c r="K73" s="26">
        <f t="shared" si="53"/>
        <v>509352</v>
      </c>
      <c r="L73" s="49" t="s">
        <v>124</v>
      </c>
      <c r="M73" s="18" t="s">
        <v>40</v>
      </c>
      <c r="N73" s="16">
        <f>509353-1</f>
        <v>509352</v>
      </c>
      <c r="O73" s="16"/>
      <c r="P73" s="16"/>
      <c r="Q73" s="16"/>
      <c r="R73" s="47"/>
      <c r="S73" s="16"/>
      <c r="T73" s="16"/>
      <c r="U73" s="16"/>
      <c r="V73" s="26">
        <f t="shared" si="54"/>
        <v>509352</v>
      </c>
      <c r="W73" s="49" t="s">
        <v>124</v>
      </c>
      <c r="X73" s="18" t="s">
        <v>40</v>
      </c>
      <c r="Y73" s="16">
        <f t="shared" si="21"/>
        <v>0</v>
      </c>
      <c r="Z73" s="16">
        <f t="shared" si="13"/>
        <v>0</v>
      </c>
      <c r="AA73" s="16">
        <f t="shared" si="14"/>
        <v>0</v>
      </c>
      <c r="AB73" s="16">
        <f t="shared" si="15"/>
        <v>0</v>
      </c>
      <c r="AC73" s="16">
        <f t="shared" si="16"/>
        <v>0</v>
      </c>
      <c r="AD73" s="16">
        <f t="shared" si="17"/>
        <v>0</v>
      </c>
      <c r="AE73" s="16">
        <f t="shared" si="18"/>
        <v>0</v>
      </c>
      <c r="AF73" s="16">
        <f t="shared" si="19"/>
        <v>0</v>
      </c>
      <c r="AG73" s="16">
        <f t="shared" si="20"/>
        <v>0</v>
      </c>
    </row>
    <row r="74" spans="1:33" ht="31.5" x14ac:dyDescent="0.25">
      <c r="A74" s="49" t="s">
        <v>125</v>
      </c>
      <c r="B74" s="18" t="s">
        <v>94</v>
      </c>
      <c r="C74" s="16">
        <v>10000000</v>
      </c>
      <c r="D74" s="16"/>
      <c r="E74" s="16"/>
      <c r="F74" s="16"/>
      <c r="G74" s="47"/>
      <c r="H74" s="16"/>
      <c r="I74" s="16"/>
      <c r="J74" s="16"/>
      <c r="K74" s="26">
        <f t="shared" ref="K74" si="55">SUM(C74:J74)</f>
        <v>10000000</v>
      </c>
      <c r="L74" s="49" t="s">
        <v>125</v>
      </c>
      <c r="M74" s="18" t="s">
        <v>94</v>
      </c>
      <c r="N74" s="16">
        <v>10000000</v>
      </c>
      <c r="O74" s="16"/>
      <c r="P74" s="16"/>
      <c r="Q74" s="16"/>
      <c r="R74" s="47"/>
      <c r="S74" s="16"/>
      <c r="T74" s="16"/>
      <c r="U74" s="16"/>
      <c r="V74" s="26">
        <f t="shared" ref="V74" si="56">SUM(N74:U74)</f>
        <v>10000000</v>
      </c>
      <c r="W74" s="49" t="s">
        <v>125</v>
      </c>
      <c r="X74" s="18" t="s">
        <v>94</v>
      </c>
      <c r="Y74" s="16">
        <f t="shared" si="21"/>
        <v>0</v>
      </c>
      <c r="Z74" s="16">
        <f t="shared" si="13"/>
        <v>0</v>
      </c>
      <c r="AA74" s="16">
        <f t="shared" si="14"/>
        <v>0</v>
      </c>
      <c r="AB74" s="16">
        <f t="shared" si="15"/>
        <v>0</v>
      </c>
      <c r="AC74" s="16">
        <f t="shared" si="16"/>
        <v>0</v>
      </c>
      <c r="AD74" s="16">
        <f t="shared" si="17"/>
        <v>0</v>
      </c>
      <c r="AE74" s="16">
        <f t="shared" si="18"/>
        <v>0</v>
      </c>
      <c r="AF74" s="16">
        <f t="shared" si="19"/>
        <v>0</v>
      </c>
      <c r="AG74" s="16">
        <f t="shared" si="20"/>
        <v>0</v>
      </c>
    </row>
    <row r="75" spans="1:33" x14ac:dyDescent="0.25">
      <c r="G75" s="4"/>
      <c r="R75" s="4"/>
      <c r="AC75" s="4"/>
    </row>
    <row r="77" spans="1:33" x14ac:dyDescent="0.25">
      <c r="G77" s="4"/>
      <c r="R77" s="4"/>
      <c r="AC77" s="4"/>
    </row>
    <row r="78" spans="1:33" x14ac:dyDescent="0.25">
      <c r="G78" s="4"/>
      <c r="R78" s="4"/>
      <c r="AC78" s="4"/>
    </row>
    <row r="79" spans="1:33" x14ac:dyDescent="0.25">
      <c r="B79" s="50"/>
      <c r="M79" s="50"/>
      <c r="X79" s="50"/>
    </row>
    <row r="80" spans="1:33" x14ac:dyDescent="0.25">
      <c r="B80" s="51"/>
      <c r="M80" s="51"/>
      <c r="X80" s="51"/>
    </row>
    <row r="81" spans="2:29" x14ac:dyDescent="0.25">
      <c r="B81" s="52"/>
      <c r="M81" s="52"/>
      <c r="X81" s="52"/>
    </row>
    <row r="85" spans="2:29" x14ac:dyDescent="0.25">
      <c r="G85" s="4"/>
      <c r="R85" s="4"/>
      <c r="AC85" s="4"/>
    </row>
  </sheetData>
  <mergeCells count="13">
    <mergeCell ref="H7:K7"/>
    <mergeCell ref="G8:K8"/>
    <mergeCell ref="H9:K9"/>
    <mergeCell ref="A11:K11"/>
    <mergeCell ref="C13:J13"/>
    <mergeCell ref="S7:V7"/>
    <mergeCell ref="R8:V8"/>
    <mergeCell ref="S9:V9"/>
    <mergeCell ref="N13:U13"/>
    <mergeCell ref="AD7:AG7"/>
    <mergeCell ref="AC8:AG8"/>
    <mergeCell ref="AD9:AG9"/>
    <mergeCell ref="Y13:AF13"/>
  </mergeCells>
  <printOptions horizontalCentered="1"/>
  <pageMargins left="0.31496062992125984" right="0.31496062992125984" top="0.27559055118110237" bottom="0.55118110236220474" header="0.31496062992125984" footer="0.31496062992125984"/>
  <pageSetup paperSize="9" scale="72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(1695)</vt:lpstr>
      <vt:lpstr>'Приложение №4 (1695)'!Заголовки_для_печати</vt:lpstr>
      <vt:lpstr>'Приложение №4 (1695)'!Область_печати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2025-12-30T07:49:14Z</dcterms:modified>
</cp:coreProperties>
</file>